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tabRatio="694" activeTab="2"/>
  </bookViews>
  <sheets>
    <sheet name="Players" sheetId="1" r:id="rId1"/>
    <sheet name="Tee Times" sheetId="2" r:id="rId2"/>
    <sheet name="Scores" sheetId="3" r:id="rId3"/>
    <sheet name="Scoreboard" sheetId="4" r:id="rId4"/>
    <sheet name="Exact Handicaps" sheetId="5" r:id="rId5"/>
    <sheet name="Winners" sheetId="6" r:id="rId6"/>
  </sheets>
  <externalReferences>
    <externalReference r:id="rId9"/>
  </externalReferences>
  <definedNames>
    <definedName name="_xlnm._FilterDatabase" localSheetId="3" hidden="1">'Scoreboard'!$A$1:$G$17</definedName>
    <definedName name="_xlnm.Print_Area" localSheetId="1">'Tee Times'!$A$1:$K$41</definedName>
  </definedNames>
  <calcPr fullCalcOnLoad="1"/>
</workbook>
</file>

<file path=xl/sharedStrings.xml><?xml version="1.0" encoding="utf-8"?>
<sst xmlns="http://schemas.openxmlformats.org/spreadsheetml/2006/main" count="507" uniqueCount="155">
  <si>
    <t>James Spackman</t>
  </si>
  <si>
    <t>Roger Chapman</t>
  </si>
  <si>
    <t>Tony Chapman</t>
  </si>
  <si>
    <t>Adam Greening</t>
  </si>
  <si>
    <t>Tony Williams</t>
  </si>
  <si>
    <t>Luke Gallagher</t>
  </si>
  <si>
    <t>Dave Chapman</t>
  </si>
  <si>
    <t>Adam Smith</t>
  </si>
  <si>
    <t>Daniel Nash</t>
  </si>
  <si>
    <t>Player 1</t>
  </si>
  <si>
    <t>Player 2</t>
  </si>
  <si>
    <t>Player 3</t>
  </si>
  <si>
    <t>Player 4</t>
  </si>
  <si>
    <t>Time</t>
  </si>
  <si>
    <t>v</t>
  </si>
  <si>
    <t>England</t>
  </si>
  <si>
    <t>Hcap</t>
  </si>
  <si>
    <t>Group</t>
  </si>
  <si>
    <t>Group 1</t>
  </si>
  <si>
    <t>Group 2</t>
  </si>
  <si>
    <t>Group 3</t>
  </si>
  <si>
    <t>Group 4</t>
  </si>
  <si>
    <t>Score</t>
  </si>
  <si>
    <t>Result</t>
  </si>
  <si>
    <t>Half</t>
  </si>
  <si>
    <t>England Win</t>
  </si>
  <si>
    <t>Player</t>
  </si>
  <si>
    <t>Day 1</t>
  </si>
  <si>
    <t>Day 2</t>
  </si>
  <si>
    <t>Day 3</t>
  </si>
  <si>
    <t>Day 4</t>
  </si>
  <si>
    <t>Rank</t>
  </si>
  <si>
    <t>1st</t>
  </si>
  <si>
    <t>2nd</t>
  </si>
  <si>
    <t>3rd</t>
  </si>
  <si>
    <t>Overall</t>
  </si>
  <si>
    <t>Ali Barnett</t>
  </si>
  <si>
    <t>Celtic Warriors</t>
  </si>
  <si>
    <t>Celts</t>
  </si>
  <si>
    <t>Score Round 1</t>
  </si>
  <si>
    <t>Score Round 2</t>
  </si>
  <si>
    <t>Score Round 3</t>
  </si>
  <si>
    <t>Score Round 4</t>
  </si>
  <si>
    <t>Start Handicap</t>
  </si>
  <si>
    <t>Handicap 2</t>
  </si>
  <si>
    <t>Handicap 3</t>
  </si>
  <si>
    <t>Handicap 4</t>
  </si>
  <si>
    <t>Group 5</t>
  </si>
  <si>
    <t>England Lions</t>
  </si>
  <si>
    <t>Marcus Street</t>
  </si>
  <si>
    <t>Moray Fleming</t>
  </si>
  <si>
    <t>James Douglas</t>
  </si>
  <si>
    <t>Adam Douglas</t>
  </si>
  <si>
    <t>Basil Davies</t>
  </si>
  <si>
    <t>Alex Davies</t>
  </si>
  <si>
    <t>Scott Saurin</t>
  </si>
  <si>
    <t>Total Day 1-4</t>
  </si>
  <si>
    <t>Carried Over to Next Year</t>
  </si>
  <si>
    <t>James Webb</t>
  </si>
  <si>
    <t>Birdie Blitz</t>
  </si>
  <si>
    <t>Best Eclectic</t>
  </si>
  <si>
    <t>Steady Eddie</t>
  </si>
  <si>
    <t>Mr Blobby</t>
  </si>
  <si>
    <t>Notts - Day 1 (Four Ball Better Ball Matchplay - Best stableford score wins on each hole)</t>
  </si>
  <si>
    <t>Rufford Park - Day 3 (Four Ball Better Ball Matchplay - Best combined stableford score wins on each hole)</t>
  </si>
  <si>
    <t>Lindrick - Day 4 (Singles Matchplay - Full handicap Difference)</t>
  </si>
  <si>
    <t>Coxmoor - Day 2 (Four Ball Better Ball Matchplay - Best stableford score wins on each hole)</t>
  </si>
  <si>
    <t>Day 1 variable 1 (no score)</t>
  </si>
  <si>
    <t>Low</t>
  </si>
  <si>
    <t>High</t>
  </si>
  <si>
    <t>Day 1 variable 3 (1st)</t>
  </si>
  <si>
    <t>Day 1 variable 4 (2nd)</t>
  </si>
  <si>
    <t>Day 1 variable 5 (3rd)</t>
  </si>
  <si>
    <t>Day 1 variable 6 (28-32)</t>
  </si>
  <si>
    <t>Day 1 variable 7 (21-27)</t>
  </si>
  <si>
    <t>Day 1 variable 8 (below 20)</t>
  </si>
  <si>
    <t>Day 1 variable 9 (Points above 36)</t>
  </si>
  <si>
    <t>Day 1 Total Hcap Change</t>
  </si>
  <si>
    <t>Day 2 variable 1 (no score)</t>
  </si>
  <si>
    <t>Day 2 variable 3 (1st)</t>
  </si>
  <si>
    <t>Day 2 variable 4 (2nd)</t>
  </si>
  <si>
    <t>Day 2 variable 5 (3rd)</t>
  </si>
  <si>
    <t>Day 2 variable 6 (28-32)</t>
  </si>
  <si>
    <t>Day 2 variable 7 (21-27)</t>
  </si>
  <si>
    <t>Day 2 variable 8 (below 20)</t>
  </si>
  <si>
    <t>Day 2 variable 9 (Points above 36)</t>
  </si>
  <si>
    <t>Day 2 Total Hcap Change</t>
  </si>
  <si>
    <t>Day 3 variable 1 (no score)</t>
  </si>
  <si>
    <t>Day 3 variable 3 (1st)</t>
  </si>
  <si>
    <t>Day 3 variable 4 (2nd)</t>
  </si>
  <si>
    <t>Day 3 variable 5 (3rd)</t>
  </si>
  <si>
    <t>Day 3 variable 6 (28-32)</t>
  </si>
  <si>
    <t>Day 3 variable 7 (21-27)</t>
  </si>
  <si>
    <t>Day 3 variable 8 (below 20)</t>
  </si>
  <si>
    <t>Day 3 variable 9 (Points above 36)</t>
  </si>
  <si>
    <t>Day 3 Total Hcap Change</t>
  </si>
  <si>
    <t>Day 4 variable 1 (no score)</t>
  </si>
  <si>
    <t>Day 4 variable 3 (1st)</t>
  </si>
  <si>
    <t>Day 4 variable 4 (2nd)</t>
  </si>
  <si>
    <t>Day 4 variable 5 (3rd)</t>
  </si>
  <si>
    <t>Day 4 variable 6 (28-32)</t>
  </si>
  <si>
    <t>Day 4 variable 7 (21-27)</t>
  </si>
  <si>
    <t>Day 4 variable 8 (below 20)</t>
  </si>
  <si>
    <t>Day 4 variable 9 (Points above 36)</t>
  </si>
  <si>
    <t>Day 4 Total Hcap Change</t>
  </si>
  <si>
    <t>Marc Talbot</t>
  </si>
  <si>
    <t>Giles Elliott</t>
  </si>
  <si>
    <t>Day 4 variable 2 (low score ADD 1)</t>
  </si>
  <si>
    <t>Day 3 variable 2 (low score ADD 1)</t>
  </si>
  <si>
    <t>Day 2 variable 2 (low score ADD 1)</t>
  </si>
  <si>
    <t>Day 1 variable 2 (low score ADD 1)</t>
  </si>
  <si>
    <t>Day 1 - 18</t>
  </si>
  <si>
    <t>Day 1 - 9</t>
  </si>
  <si>
    <t>Day 1 - 6</t>
  </si>
  <si>
    <t>Day 1 - 1</t>
  </si>
  <si>
    <t>Day 1 Rank</t>
  </si>
  <si>
    <t>Day 1 Total</t>
  </si>
  <si>
    <t>Day 2 - 18</t>
  </si>
  <si>
    <t>Day 2 - 9</t>
  </si>
  <si>
    <t>Day 2 - 6</t>
  </si>
  <si>
    <t>Day 2 - 1</t>
  </si>
  <si>
    <t>Day 2 Total</t>
  </si>
  <si>
    <t>Day 2 Rank</t>
  </si>
  <si>
    <t>Day 3 - 18</t>
  </si>
  <si>
    <t>Day 2 - 3</t>
  </si>
  <si>
    <t>Day 1 - 3</t>
  </si>
  <si>
    <t>Day 3 - 9</t>
  </si>
  <si>
    <t>Day 3 - 6</t>
  </si>
  <si>
    <t>Day 3 - 3</t>
  </si>
  <si>
    <t>Day 3 - 1</t>
  </si>
  <si>
    <t>Day 3 Total</t>
  </si>
  <si>
    <t>Day 3 Rank</t>
  </si>
  <si>
    <t>Day 4 - 18</t>
  </si>
  <si>
    <t>Day 4 - 9</t>
  </si>
  <si>
    <t>Day 4 - 6</t>
  </si>
  <si>
    <t>Day 4 - 3</t>
  </si>
  <si>
    <t>Day 4 - 1</t>
  </si>
  <si>
    <t>Day 4 Total</t>
  </si>
  <si>
    <t>Day 4 Rank</t>
  </si>
  <si>
    <t>72 holes</t>
  </si>
  <si>
    <t>countback 36</t>
  </si>
  <si>
    <t>countback 18</t>
  </si>
  <si>
    <t>Total</t>
  </si>
  <si>
    <t>Decided on Countback</t>
  </si>
  <si>
    <t>Celts Win</t>
  </si>
  <si>
    <t>Points</t>
  </si>
  <si>
    <t>w</t>
  </si>
  <si>
    <t>h</t>
  </si>
  <si>
    <t>W</t>
  </si>
  <si>
    <t>H</t>
  </si>
  <si>
    <t>L</t>
  </si>
  <si>
    <t>Pts</t>
  </si>
  <si>
    <t>E</t>
  </si>
  <si>
    <t>C</t>
  </si>
  <si>
    <t>Rufford Park - Day 3 (Four Ball Combined Ball Matchplay - Best stableford score wins on each hole)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</si>
</sst>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6"/>
      <name val="Arial"/>
      <family val="2"/>
    </font>
    <font>
      <sz val="10"/>
      <name val="Verdana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35" borderId="16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wrapText="1"/>
      <protection locked="0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4" fillId="32" borderId="11" xfId="0" applyFont="1" applyFill="1" applyBorder="1" applyAlignment="1" applyProtection="1">
      <alignment horizontal="center" wrapText="1"/>
      <protection locked="0"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4" borderId="2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1" fillId="34" borderId="11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wrapText="1"/>
    </xf>
    <xf numFmtId="0" fontId="4" fillId="33" borderId="2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5" borderId="26" xfId="0" applyFont="1" applyFill="1" applyBorder="1" applyAlignment="1" applyProtection="1">
      <alignment horizontal="left"/>
      <protection locked="0"/>
    </xf>
    <xf numFmtId="0" fontId="1" fillId="35" borderId="14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left"/>
    </xf>
    <xf numFmtId="168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32" borderId="31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35" borderId="25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>
      <alignment horizontal="center" wrapText="1"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3" fillId="32" borderId="23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38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2" borderId="35" xfId="0" applyFont="1" applyFill="1" applyBorder="1" applyAlignment="1">
      <alignment horizontal="left"/>
    </xf>
    <xf numFmtId="0" fontId="3" fillId="32" borderId="36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9" fillId="39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23</xdr:row>
      <xdr:rowOff>28575</xdr:rowOff>
    </xdr:from>
    <xdr:to>
      <xdr:col>5</xdr:col>
      <xdr:colOff>419100</xdr:colOff>
      <xdr:row>23</xdr:row>
      <xdr:rowOff>209550</xdr:rowOff>
    </xdr:to>
    <xdr:pic>
      <xdr:nvPicPr>
        <xdr:cNvPr id="1" name="Picture 11" descr="Flag_of_Eng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762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24</xdr:row>
      <xdr:rowOff>19050</xdr:rowOff>
    </xdr:from>
    <xdr:to>
      <xdr:col>5</xdr:col>
      <xdr:colOff>428625</xdr:colOff>
      <xdr:row>24</xdr:row>
      <xdr:rowOff>219075</xdr:rowOff>
    </xdr:to>
    <xdr:pic>
      <xdr:nvPicPr>
        <xdr:cNvPr id="2" name="Picture 13" descr="welsh_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9909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s_and_Stuff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board"/>
      <sheetName val="Day 1 FBBB Matchplay"/>
      <sheetName val="Day 2 FBBB Matchplay"/>
      <sheetName val="Day 3 Combined Matchplay"/>
      <sheetName val="Day 4 Singles Matchplay"/>
      <sheetName val="Scott Saurin"/>
      <sheetName val="James Spackman"/>
      <sheetName val="Dave Chapman"/>
      <sheetName val="Adam Douglas"/>
      <sheetName val="Moray Fleming"/>
      <sheetName val="Alex Davies"/>
      <sheetName val="Adam Greening"/>
      <sheetName val="Tony Chapman"/>
      <sheetName val="James Webb"/>
      <sheetName val="Adam Smith"/>
      <sheetName val="Daniel Nash"/>
      <sheetName val="Marcus Street"/>
      <sheetName val="Marc Talbot"/>
      <sheetName val="Tony Williams"/>
      <sheetName val="Roger Chapman"/>
      <sheetName val="Ali Barnett"/>
      <sheetName val="Giles Elliott"/>
      <sheetName val="James Douglas"/>
      <sheetName val="Basil Davies"/>
      <sheetName val="Luke Gallagher"/>
    </sheetNames>
    <sheetDataSet>
      <sheetData sheetId="0">
        <row r="2">
          <cell r="B2" t="str">
            <v>Tony Chapman</v>
          </cell>
          <cell r="C2">
            <v>36</v>
          </cell>
          <cell r="D2">
            <v>38</v>
          </cell>
          <cell r="E2">
            <v>40</v>
          </cell>
          <cell r="F2">
            <v>23</v>
          </cell>
          <cell r="G2">
            <v>137</v>
          </cell>
          <cell r="H2">
            <v>23</v>
          </cell>
          <cell r="I2">
            <v>23</v>
          </cell>
          <cell r="J2">
            <v>10</v>
          </cell>
          <cell r="K2">
            <v>73</v>
          </cell>
          <cell r="L2">
            <v>40</v>
          </cell>
          <cell r="M2">
            <v>23</v>
          </cell>
          <cell r="N2">
            <v>34.25</v>
          </cell>
          <cell r="O2">
            <v>1</v>
          </cell>
          <cell r="P2" t="str">
            <v>Tony Chapman</v>
          </cell>
          <cell r="Q2">
            <v>74</v>
          </cell>
          <cell r="R2">
            <v>114</v>
          </cell>
          <cell r="S2">
            <v>19</v>
          </cell>
          <cell r="T2">
            <v>12</v>
          </cell>
          <cell r="U2">
            <v>4</v>
          </cell>
          <cell r="V2">
            <v>2</v>
          </cell>
          <cell r="W2">
            <v>18</v>
          </cell>
          <cell r="X2">
            <v>11</v>
          </cell>
          <cell r="Y2">
            <v>7</v>
          </cell>
          <cell r="Z2">
            <v>2</v>
          </cell>
          <cell r="AA2">
            <v>22</v>
          </cell>
          <cell r="AB2">
            <v>15</v>
          </cell>
          <cell r="AC2">
            <v>7</v>
          </cell>
          <cell r="AD2">
            <v>3</v>
          </cell>
          <cell r="AE2">
            <v>16</v>
          </cell>
          <cell r="AF2">
            <v>9</v>
          </cell>
          <cell r="AG2">
            <v>5</v>
          </cell>
          <cell r="AH2">
            <v>2</v>
          </cell>
        </row>
        <row r="3">
          <cell r="B3" t="str">
            <v>Alex Davies</v>
          </cell>
          <cell r="C3">
            <v>32</v>
          </cell>
          <cell r="D3">
            <v>29</v>
          </cell>
          <cell r="E3">
            <v>35</v>
          </cell>
          <cell r="F3">
            <v>37</v>
          </cell>
          <cell r="G3">
            <v>133</v>
          </cell>
          <cell r="H3">
            <v>17</v>
          </cell>
          <cell r="I3">
            <v>31</v>
          </cell>
          <cell r="J3">
            <v>5</v>
          </cell>
          <cell r="K3">
            <v>60</v>
          </cell>
          <cell r="L3">
            <v>37</v>
          </cell>
          <cell r="M3">
            <v>29</v>
          </cell>
          <cell r="N3">
            <v>33.25</v>
          </cell>
          <cell r="O3">
            <v>2</v>
          </cell>
          <cell r="P3" t="str">
            <v>Alex Davies</v>
          </cell>
          <cell r="Q3">
            <v>61</v>
          </cell>
          <cell r="R3">
            <v>96</v>
          </cell>
          <cell r="S3">
            <v>14</v>
          </cell>
          <cell r="T3">
            <v>10</v>
          </cell>
          <cell r="U3">
            <v>6</v>
          </cell>
          <cell r="V3">
            <v>2</v>
          </cell>
          <cell r="W3">
            <v>14</v>
          </cell>
          <cell r="X3">
            <v>9</v>
          </cell>
          <cell r="Y3">
            <v>4</v>
          </cell>
          <cell r="Z3">
            <v>2</v>
          </cell>
          <cell r="AA3">
            <v>18</v>
          </cell>
          <cell r="AB3">
            <v>11</v>
          </cell>
          <cell r="AC3">
            <v>4</v>
          </cell>
          <cell r="AD3">
            <v>3</v>
          </cell>
          <cell r="AE3">
            <v>18</v>
          </cell>
          <cell r="AF3">
            <v>13</v>
          </cell>
          <cell r="AG3">
            <v>6</v>
          </cell>
          <cell r="AH3">
            <v>2</v>
          </cell>
        </row>
        <row r="4">
          <cell r="B4" t="str">
            <v>Moray Fleming</v>
          </cell>
          <cell r="C4">
            <v>33</v>
          </cell>
          <cell r="D4">
            <v>37</v>
          </cell>
          <cell r="E4">
            <v>31</v>
          </cell>
          <cell r="F4">
            <v>30</v>
          </cell>
          <cell r="G4">
            <v>131</v>
          </cell>
          <cell r="H4">
            <v>16</v>
          </cell>
          <cell r="I4">
            <v>33</v>
          </cell>
          <cell r="J4">
            <v>6</v>
          </cell>
          <cell r="K4">
            <v>71</v>
          </cell>
          <cell r="L4">
            <v>37</v>
          </cell>
          <cell r="M4">
            <v>30</v>
          </cell>
          <cell r="N4">
            <v>32.75</v>
          </cell>
          <cell r="O4">
            <v>3</v>
          </cell>
          <cell r="P4" t="str">
            <v>Moray Fleming</v>
          </cell>
          <cell r="Q4">
            <v>70</v>
          </cell>
          <cell r="R4">
            <v>101</v>
          </cell>
          <cell r="S4">
            <v>14</v>
          </cell>
          <cell r="T4">
            <v>11</v>
          </cell>
          <cell r="U4">
            <v>4</v>
          </cell>
          <cell r="V4">
            <v>1</v>
          </cell>
          <cell r="W4">
            <v>19</v>
          </cell>
          <cell r="X4">
            <v>13</v>
          </cell>
          <cell r="Y4">
            <v>9</v>
          </cell>
          <cell r="Z4">
            <v>3</v>
          </cell>
          <cell r="AA4">
            <v>15</v>
          </cell>
          <cell r="AB4">
            <v>10</v>
          </cell>
          <cell r="AC4">
            <v>4</v>
          </cell>
          <cell r="AD4">
            <v>1</v>
          </cell>
          <cell r="AE4">
            <v>12</v>
          </cell>
          <cell r="AF4">
            <v>8</v>
          </cell>
          <cell r="AG4">
            <v>1</v>
          </cell>
          <cell r="AH4">
            <v>0</v>
          </cell>
        </row>
        <row r="5">
          <cell r="B5" t="str">
            <v>Scott Saurin</v>
          </cell>
          <cell r="C5">
            <v>32</v>
          </cell>
          <cell r="D5">
            <v>41</v>
          </cell>
          <cell r="E5">
            <v>27</v>
          </cell>
          <cell r="F5">
            <v>27</v>
          </cell>
          <cell r="G5">
            <v>127</v>
          </cell>
          <cell r="H5">
            <v>17</v>
          </cell>
          <cell r="I5">
            <v>29</v>
          </cell>
          <cell r="J5">
            <v>8</v>
          </cell>
          <cell r="K5">
            <v>61</v>
          </cell>
          <cell r="L5">
            <v>41</v>
          </cell>
          <cell r="M5">
            <v>27</v>
          </cell>
          <cell r="N5">
            <v>31.75</v>
          </cell>
          <cell r="O5">
            <v>4</v>
          </cell>
          <cell r="P5" t="str">
            <v>Scott Saurin</v>
          </cell>
          <cell r="Q5">
            <v>73</v>
          </cell>
          <cell r="R5">
            <v>100</v>
          </cell>
          <cell r="S5">
            <v>16</v>
          </cell>
          <cell r="T5">
            <v>11</v>
          </cell>
          <cell r="U5">
            <v>5</v>
          </cell>
          <cell r="V5">
            <v>2</v>
          </cell>
          <cell r="W5">
            <v>20</v>
          </cell>
          <cell r="X5">
            <v>13</v>
          </cell>
          <cell r="Y5">
            <v>6</v>
          </cell>
          <cell r="Z5">
            <v>1</v>
          </cell>
          <cell r="AA5">
            <v>14</v>
          </cell>
          <cell r="AB5">
            <v>8</v>
          </cell>
          <cell r="AC5">
            <v>3</v>
          </cell>
          <cell r="AD5">
            <v>0</v>
          </cell>
          <cell r="AE5">
            <v>15</v>
          </cell>
          <cell r="AF5">
            <v>9</v>
          </cell>
          <cell r="AG5">
            <v>3</v>
          </cell>
          <cell r="AH5">
            <v>0</v>
          </cell>
        </row>
        <row r="6">
          <cell r="B6" t="str">
            <v>Basil Davies</v>
          </cell>
          <cell r="C6">
            <v>31</v>
          </cell>
          <cell r="D6">
            <v>35</v>
          </cell>
          <cell r="E6">
            <v>35</v>
          </cell>
          <cell r="F6">
            <v>25</v>
          </cell>
          <cell r="G6">
            <v>126</v>
          </cell>
          <cell r="H6">
            <v>22</v>
          </cell>
          <cell r="I6">
            <v>19</v>
          </cell>
          <cell r="J6">
            <v>12</v>
          </cell>
          <cell r="K6">
            <v>69</v>
          </cell>
          <cell r="L6">
            <v>35</v>
          </cell>
          <cell r="M6">
            <v>25</v>
          </cell>
          <cell r="N6">
            <v>31.5</v>
          </cell>
          <cell r="O6">
            <v>5</v>
          </cell>
          <cell r="P6" t="str">
            <v>Basil Davies</v>
          </cell>
          <cell r="Q6">
            <v>66</v>
          </cell>
          <cell r="R6">
            <v>101</v>
          </cell>
          <cell r="S6">
            <v>13</v>
          </cell>
          <cell r="T6">
            <v>8</v>
          </cell>
          <cell r="U6">
            <v>5</v>
          </cell>
          <cell r="V6">
            <v>0</v>
          </cell>
          <cell r="W6">
            <v>17</v>
          </cell>
          <cell r="X6">
            <v>11</v>
          </cell>
          <cell r="Y6">
            <v>7</v>
          </cell>
          <cell r="Z6">
            <v>2</v>
          </cell>
          <cell r="AA6">
            <v>20</v>
          </cell>
          <cell r="AB6">
            <v>15</v>
          </cell>
          <cell r="AC6">
            <v>8</v>
          </cell>
          <cell r="AD6">
            <v>3</v>
          </cell>
          <cell r="AE6">
            <v>13</v>
          </cell>
          <cell r="AF6">
            <v>7</v>
          </cell>
          <cell r="AG6">
            <v>4</v>
          </cell>
          <cell r="AH6">
            <v>0</v>
          </cell>
        </row>
        <row r="7">
          <cell r="B7" t="str">
            <v>Daniel Nash</v>
          </cell>
          <cell r="C7">
            <v>28</v>
          </cell>
          <cell r="D7">
            <v>34</v>
          </cell>
          <cell r="E7">
            <v>32</v>
          </cell>
          <cell r="F7">
            <v>31</v>
          </cell>
          <cell r="G7">
            <v>125</v>
          </cell>
          <cell r="H7">
            <v>18</v>
          </cell>
          <cell r="I7">
            <v>27</v>
          </cell>
          <cell r="J7">
            <v>12</v>
          </cell>
          <cell r="K7">
            <v>77</v>
          </cell>
          <cell r="L7">
            <v>34</v>
          </cell>
          <cell r="M7">
            <v>28</v>
          </cell>
          <cell r="N7">
            <v>31.25</v>
          </cell>
          <cell r="O7">
            <v>6</v>
          </cell>
          <cell r="P7" t="str">
            <v>Daniel Nash</v>
          </cell>
          <cell r="Q7">
            <v>62</v>
          </cell>
          <cell r="R7">
            <v>94</v>
          </cell>
          <cell r="S7">
            <v>17</v>
          </cell>
          <cell r="T7">
            <v>14</v>
          </cell>
          <cell r="U7">
            <v>6</v>
          </cell>
          <cell r="V7">
            <v>4</v>
          </cell>
          <cell r="W7">
            <v>19</v>
          </cell>
          <cell r="X7">
            <v>13</v>
          </cell>
          <cell r="Y7">
            <v>6</v>
          </cell>
          <cell r="Z7">
            <v>2</v>
          </cell>
          <cell r="AA7">
            <v>17</v>
          </cell>
          <cell r="AB7">
            <v>13</v>
          </cell>
          <cell r="AC7">
            <v>5</v>
          </cell>
          <cell r="AD7">
            <v>0</v>
          </cell>
          <cell r="AE7">
            <v>20</v>
          </cell>
          <cell r="AF7">
            <v>14</v>
          </cell>
          <cell r="AG7">
            <v>7</v>
          </cell>
          <cell r="AH7">
            <v>1</v>
          </cell>
        </row>
        <row r="8">
          <cell r="B8" t="str">
            <v>Roger Chapman</v>
          </cell>
          <cell r="C8">
            <v>37</v>
          </cell>
          <cell r="D8">
            <v>32</v>
          </cell>
          <cell r="E8">
            <v>31</v>
          </cell>
          <cell r="F8">
            <v>25</v>
          </cell>
          <cell r="G8">
            <v>125</v>
          </cell>
          <cell r="H8">
            <v>12</v>
          </cell>
          <cell r="I8">
            <v>39</v>
          </cell>
          <cell r="J8">
            <v>10</v>
          </cell>
          <cell r="K8">
            <v>69</v>
          </cell>
          <cell r="L8">
            <v>37</v>
          </cell>
          <cell r="M8">
            <v>25</v>
          </cell>
          <cell r="N8">
            <v>31.25</v>
          </cell>
          <cell r="O8">
            <v>6</v>
          </cell>
          <cell r="P8" t="str">
            <v>Roger Chapman</v>
          </cell>
          <cell r="Q8">
            <v>69</v>
          </cell>
          <cell r="R8">
            <v>100</v>
          </cell>
          <cell r="S8">
            <v>17</v>
          </cell>
          <cell r="T8">
            <v>13</v>
          </cell>
          <cell r="U8">
            <v>7</v>
          </cell>
          <cell r="V8">
            <v>2</v>
          </cell>
          <cell r="W8">
            <v>15</v>
          </cell>
          <cell r="X8">
            <v>9</v>
          </cell>
          <cell r="Y8">
            <v>3</v>
          </cell>
          <cell r="Z8">
            <v>0</v>
          </cell>
          <cell r="AA8">
            <v>11</v>
          </cell>
          <cell r="AB8">
            <v>7</v>
          </cell>
          <cell r="AC8">
            <v>3</v>
          </cell>
          <cell r="AD8">
            <v>2</v>
          </cell>
          <cell r="AE8">
            <v>14</v>
          </cell>
          <cell r="AF8">
            <v>9</v>
          </cell>
          <cell r="AG8">
            <v>6</v>
          </cell>
          <cell r="AH8">
            <v>3</v>
          </cell>
        </row>
        <row r="9">
          <cell r="B9" t="str">
            <v>Dave Chapman</v>
          </cell>
          <cell r="C9">
            <v>36</v>
          </cell>
          <cell r="D9">
            <v>30</v>
          </cell>
          <cell r="E9">
            <v>35</v>
          </cell>
          <cell r="F9">
            <v>24</v>
          </cell>
          <cell r="G9">
            <v>125</v>
          </cell>
          <cell r="H9">
            <v>14</v>
          </cell>
          <cell r="I9">
            <v>34</v>
          </cell>
          <cell r="J9">
            <v>9</v>
          </cell>
          <cell r="K9">
            <v>59</v>
          </cell>
          <cell r="L9">
            <v>36</v>
          </cell>
          <cell r="M9">
            <v>24</v>
          </cell>
          <cell r="N9">
            <v>31.25</v>
          </cell>
          <cell r="O9">
            <v>6</v>
          </cell>
          <cell r="P9" t="str">
            <v>Dave Chapman</v>
          </cell>
          <cell r="Q9">
            <v>66</v>
          </cell>
          <cell r="R9">
            <v>101</v>
          </cell>
          <cell r="S9">
            <v>15</v>
          </cell>
          <cell r="T9">
            <v>9</v>
          </cell>
          <cell r="U9">
            <v>2</v>
          </cell>
          <cell r="V9">
            <v>0</v>
          </cell>
          <cell r="W9">
            <v>16</v>
          </cell>
          <cell r="X9">
            <v>10</v>
          </cell>
          <cell r="Y9">
            <v>5</v>
          </cell>
          <cell r="Z9">
            <v>0</v>
          </cell>
          <cell r="AA9">
            <v>18</v>
          </cell>
          <cell r="AB9">
            <v>12</v>
          </cell>
          <cell r="AC9">
            <v>4</v>
          </cell>
          <cell r="AD9">
            <v>2</v>
          </cell>
          <cell r="AE9">
            <v>13</v>
          </cell>
          <cell r="AF9">
            <v>9</v>
          </cell>
          <cell r="AG9">
            <v>2</v>
          </cell>
          <cell r="AH9">
            <v>1</v>
          </cell>
        </row>
        <row r="10">
          <cell r="B10" t="str">
            <v>James Webb</v>
          </cell>
          <cell r="C10">
            <v>29</v>
          </cell>
          <cell r="D10">
            <v>31</v>
          </cell>
          <cell r="E10">
            <v>33</v>
          </cell>
          <cell r="F10">
            <v>29</v>
          </cell>
          <cell r="G10">
            <v>122</v>
          </cell>
          <cell r="H10">
            <v>14</v>
          </cell>
          <cell r="I10">
            <v>32</v>
          </cell>
          <cell r="J10">
            <v>12</v>
          </cell>
          <cell r="K10">
            <v>76</v>
          </cell>
          <cell r="L10">
            <v>33</v>
          </cell>
          <cell r="M10">
            <v>29</v>
          </cell>
          <cell r="N10">
            <v>30.5</v>
          </cell>
          <cell r="O10">
            <v>9</v>
          </cell>
          <cell r="P10" t="str">
            <v>James Webb</v>
          </cell>
          <cell r="Q10">
            <v>60</v>
          </cell>
          <cell r="R10">
            <v>93</v>
          </cell>
          <cell r="S10">
            <v>13</v>
          </cell>
          <cell r="T10">
            <v>10</v>
          </cell>
          <cell r="U10">
            <v>3</v>
          </cell>
          <cell r="V10">
            <v>1</v>
          </cell>
          <cell r="W10">
            <v>12</v>
          </cell>
          <cell r="X10">
            <v>8</v>
          </cell>
          <cell r="Y10">
            <v>1</v>
          </cell>
          <cell r="Z10">
            <v>1</v>
          </cell>
          <cell r="AA10">
            <v>18</v>
          </cell>
          <cell r="AB10">
            <v>11</v>
          </cell>
          <cell r="AC10">
            <v>3</v>
          </cell>
          <cell r="AD10">
            <v>2</v>
          </cell>
          <cell r="AE10">
            <v>12</v>
          </cell>
          <cell r="AF10">
            <v>9</v>
          </cell>
          <cell r="AG10">
            <v>5</v>
          </cell>
          <cell r="AH10">
            <v>2</v>
          </cell>
        </row>
        <row r="11">
          <cell r="B11" t="str">
            <v>Marcus Street</v>
          </cell>
          <cell r="C11">
            <v>32</v>
          </cell>
          <cell r="D11">
            <v>38</v>
          </cell>
          <cell r="E11">
            <v>25</v>
          </cell>
          <cell r="F11">
            <v>26</v>
          </cell>
          <cell r="G11">
            <v>121</v>
          </cell>
          <cell r="H11">
            <v>16</v>
          </cell>
          <cell r="I11">
            <v>26</v>
          </cell>
          <cell r="J11">
            <v>12</v>
          </cell>
          <cell r="K11">
            <v>72</v>
          </cell>
          <cell r="L11">
            <v>38</v>
          </cell>
          <cell r="M11">
            <v>25</v>
          </cell>
          <cell r="N11">
            <v>30.25</v>
          </cell>
          <cell r="O11">
            <v>10</v>
          </cell>
          <cell r="P11" t="str">
            <v>Marcus Street</v>
          </cell>
          <cell r="Q11">
            <v>70</v>
          </cell>
          <cell r="R11">
            <v>95</v>
          </cell>
          <cell r="S11">
            <v>16</v>
          </cell>
          <cell r="T11">
            <v>8</v>
          </cell>
          <cell r="U11">
            <v>4</v>
          </cell>
          <cell r="V11">
            <v>2</v>
          </cell>
          <cell r="W11">
            <v>22</v>
          </cell>
          <cell r="X11">
            <v>15</v>
          </cell>
          <cell r="Y11">
            <v>6</v>
          </cell>
          <cell r="Z11">
            <v>1</v>
          </cell>
          <cell r="AA11">
            <v>15</v>
          </cell>
          <cell r="AB11">
            <v>11</v>
          </cell>
          <cell r="AC11">
            <v>8</v>
          </cell>
          <cell r="AD11">
            <v>3</v>
          </cell>
          <cell r="AE11">
            <v>13</v>
          </cell>
          <cell r="AF11">
            <v>8</v>
          </cell>
          <cell r="AG11">
            <v>3</v>
          </cell>
          <cell r="AH11">
            <v>2</v>
          </cell>
        </row>
        <row r="12">
          <cell r="B12" t="str">
            <v>Tony Williams</v>
          </cell>
          <cell r="C12">
            <v>25</v>
          </cell>
          <cell r="D12">
            <v>31</v>
          </cell>
          <cell r="E12">
            <v>30</v>
          </cell>
          <cell r="F12">
            <v>33</v>
          </cell>
          <cell r="G12">
            <v>119</v>
          </cell>
          <cell r="H12">
            <v>10</v>
          </cell>
          <cell r="I12">
            <v>31</v>
          </cell>
          <cell r="J12">
            <v>7</v>
          </cell>
          <cell r="K12">
            <v>69</v>
          </cell>
          <cell r="L12">
            <v>33</v>
          </cell>
          <cell r="M12">
            <v>25</v>
          </cell>
          <cell r="N12">
            <v>29.75</v>
          </cell>
          <cell r="O12">
            <v>11</v>
          </cell>
          <cell r="P12" t="str">
            <v>Tony Williams</v>
          </cell>
          <cell r="Q12">
            <v>56</v>
          </cell>
          <cell r="R12">
            <v>86</v>
          </cell>
          <cell r="S12">
            <v>12</v>
          </cell>
          <cell r="T12">
            <v>8</v>
          </cell>
          <cell r="U12">
            <v>3</v>
          </cell>
          <cell r="V12">
            <v>1</v>
          </cell>
          <cell r="W12">
            <v>13</v>
          </cell>
          <cell r="X12">
            <v>11</v>
          </cell>
          <cell r="Y12">
            <v>4</v>
          </cell>
          <cell r="Z12">
            <v>2</v>
          </cell>
          <cell r="AA12">
            <v>15</v>
          </cell>
          <cell r="AB12">
            <v>10</v>
          </cell>
          <cell r="AC12">
            <v>5</v>
          </cell>
          <cell r="AD12">
            <v>0</v>
          </cell>
          <cell r="AE12">
            <v>17</v>
          </cell>
          <cell r="AF12">
            <v>12</v>
          </cell>
          <cell r="AG12">
            <v>5</v>
          </cell>
          <cell r="AH12">
            <v>3</v>
          </cell>
        </row>
        <row r="13">
          <cell r="B13" t="str">
            <v>Adam Douglas</v>
          </cell>
          <cell r="C13">
            <v>36</v>
          </cell>
          <cell r="D13">
            <v>32</v>
          </cell>
          <cell r="E13">
            <v>23</v>
          </cell>
          <cell r="F13">
            <v>27</v>
          </cell>
          <cell r="G13">
            <v>118</v>
          </cell>
          <cell r="H13">
            <v>12</v>
          </cell>
          <cell r="I13">
            <v>30</v>
          </cell>
          <cell r="J13">
            <v>8</v>
          </cell>
          <cell r="K13">
            <v>64</v>
          </cell>
          <cell r="L13">
            <v>36</v>
          </cell>
          <cell r="M13">
            <v>23</v>
          </cell>
          <cell r="N13">
            <v>29.5</v>
          </cell>
          <cell r="O13">
            <v>12</v>
          </cell>
          <cell r="P13" t="str">
            <v>Adam Douglas</v>
          </cell>
          <cell r="Q13">
            <v>68</v>
          </cell>
          <cell r="R13">
            <v>91</v>
          </cell>
          <cell r="S13">
            <v>15</v>
          </cell>
          <cell r="T13">
            <v>9</v>
          </cell>
          <cell r="U13">
            <v>6</v>
          </cell>
          <cell r="V13">
            <v>2</v>
          </cell>
          <cell r="W13">
            <v>17</v>
          </cell>
          <cell r="X13">
            <v>14</v>
          </cell>
          <cell r="Y13">
            <v>6</v>
          </cell>
          <cell r="Z13">
            <v>2</v>
          </cell>
          <cell r="AA13">
            <v>13</v>
          </cell>
          <cell r="AB13">
            <v>9</v>
          </cell>
          <cell r="AC13">
            <v>6</v>
          </cell>
          <cell r="AD13">
            <v>2</v>
          </cell>
          <cell r="AE13">
            <v>14</v>
          </cell>
          <cell r="AF13">
            <v>11</v>
          </cell>
          <cell r="AG13">
            <v>5</v>
          </cell>
          <cell r="AH13">
            <v>1</v>
          </cell>
        </row>
        <row r="14">
          <cell r="B14" t="str">
            <v>James Spackman</v>
          </cell>
          <cell r="C14">
            <v>31</v>
          </cell>
          <cell r="D14">
            <v>25</v>
          </cell>
          <cell r="E14">
            <v>30</v>
          </cell>
          <cell r="F14">
            <v>32</v>
          </cell>
          <cell r="G14">
            <v>118</v>
          </cell>
          <cell r="H14">
            <v>14</v>
          </cell>
          <cell r="I14">
            <v>26</v>
          </cell>
          <cell r="J14">
            <v>10</v>
          </cell>
          <cell r="K14">
            <v>67</v>
          </cell>
          <cell r="L14">
            <v>32</v>
          </cell>
          <cell r="M14">
            <v>25</v>
          </cell>
          <cell r="N14">
            <v>29.5</v>
          </cell>
          <cell r="O14">
            <v>12</v>
          </cell>
          <cell r="P14" t="str">
            <v>James Spackman</v>
          </cell>
          <cell r="Q14">
            <v>56</v>
          </cell>
          <cell r="R14">
            <v>86</v>
          </cell>
          <cell r="S14">
            <v>13</v>
          </cell>
          <cell r="T14">
            <v>9</v>
          </cell>
          <cell r="U14">
            <v>4</v>
          </cell>
          <cell r="V14">
            <v>1</v>
          </cell>
          <cell r="W14">
            <v>11</v>
          </cell>
          <cell r="X14">
            <v>6</v>
          </cell>
          <cell r="Y14">
            <v>3</v>
          </cell>
          <cell r="Z14">
            <v>2</v>
          </cell>
          <cell r="AA14">
            <v>17</v>
          </cell>
          <cell r="AB14">
            <v>11</v>
          </cell>
          <cell r="AC14">
            <v>5</v>
          </cell>
          <cell r="AD14">
            <v>0</v>
          </cell>
          <cell r="AE14">
            <v>19</v>
          </cell>
          <cell r="AF14">
            <v>13</v>
          </cell>
          <cell r="AG14">
            <v>6</v>
          </cell>
          <cell r="AH14">
            <v>1</v>
          </cell>
        </row>
        <row r="15">
          <cell r="B15" t="str">
            <v>Luke Gallagher</v>
          </cell>
          <cell r="C15">
            <v>32</v>
          </cell>
          <cell r="D15">
            <v>36</v>
          </cell>
          <cell r="E15">
            <v>31</v>
          </cell>
          <cell r="F15">
            <v>18</v>
          </cell>
          <cell r="G15">
            <v>117</v>
          </cell>
          <cell r="H15">
            <v>19</v>
          </cell>
          <cell r="I15">
            <v>22</v>
          </cell>
          <cell r="J15">
            <v>21</v>
          </cell>
          <cell r="K15">
            <v>76</v>
          </cell>
          <cell r="L15">
            <v>36</v>
          </cell>
          <cell r="M15">
            <v>18</v>
          </cell>
          <cell r="N15">
            <v>29.25</v>
          </cell>
          <cell r="O15">
            <v>14</v>
          </cell>
          <cell r="P15" t="str">
            <v>Luke Gallagher</v>
          </cell>
          <cell r="Q15">
            <v>68</v>
          </cell>
          <cell r="R15">
            <v>99</v>
          </cell>
          <cell r="S15">
            <v>17</v>
          </cell>
          <cell r="T15">
            <v>9</v>
          </cell>
          <cell r="U15">
            <v>4</v>
          </cell>
          <cell r="V15">
            <v>0</v>
          </cell>
          <cell r="W15">
            <v>18</v>
          </cell>
          <cell r="X15">
            <v>8</v>
          </cell>
          <cell r="Y15">
            <v>5</v>
          </cell>
          <cell r="Z15">
            <v>2</v>
          </cell>
          <cell r="AA15">
            <v>17</v>
          </cell>
          <cell r="AB15">
            <v>13</v>
          </cell>
          <cell r="AC15">
            <v>4</v>
          </cell>
          <cell r="AD15">
            <v>2</v>
          </cell>
          <cell r="AE15">
            <v>9</v>
          </cell>
          <cell r="AF15">
            <v>8</v>
          </cell>
          <cell r="AG15">
            <v>3</v>
          </cell>
          <cell r="AH15">
            <v>2</v>
          </cell>
        </row>
        <row r="16">
          <cell r="B16" t="str">
            <v>James Douglas</v>
          </cell>
          <cell r="C16">
            <v>27</v>
          </cell>
          <cell r="D16">
            <v>34</v>
          </cell>
          <cell r="E16">
            <v>32</v>
          </cell>
          <cell r="F16">
            <v>24</v>
          </cell>
          <cell r="G16">
            <v>117</v>
          </cell>
          <cell r="H16">
            <v>12</v>
          </cell>
          <cell r="I16">
            <v>31</v>
          </cell>
          <cell r="J16">
            <v>11</v>
          </cell>
          <cell r="K16">
            <v>69</v>
          </cell>
          <cell r="L16">
            <v>34</v>
          </cell>
          <cell r="M16">
            <v>24</v>
          </cell>
          <cell r="N16">
            <v>29.25</v>
          </cell>
          <cell r="O16">
            <v>14</v>
          </cell>
          <cell r="P16" t="str">
            <v>James Douglas</v>
          </cell>
          <cell r="Q16">
            <v>61</v>
          </cell>
          <cell r="R16">
            <v>93</v>
          </cell>
          <cell r="S16">
            <v>13</v>
          </cell>
          <cell r="T16">
            <v>10</v>
          </cell>
          <cell r="U16">
            <v>4</v>
          </cell>
          <cell r="V16">
            <v>2</v>
          </cell>
          <cell r="W16">
            <v>18</v>
          </cell>
          <cell r="X16">
            <v>11</v>
          </cell>
          <cell r="Y16">
            <v>7</v>
          </cell>
          <cell r="Z16">
            <v>1</v>
          </cell>
          <cell r="AA16">
            <v>18</v>
          </cell>
          <cell r="AB16">
            <v>12</v>
          </cell>
          <cell r="AC16">
            <v>4</v>
          </cell>
          <cell r="AD16">
            <v>2</v>
          </cell>
          <cell r="AE16">
            <v>9</v>
          </cell>
          <cell r="AF16">
            <v>6</v>
          </cell>
          <cell r="AG16">
            <v>4</v>
          </cell>
          <cell r="AH16">
            <v>0</v>
          </cell>
        </row>
        <row r="17">
          <cell r="B17" t="str">
            <v>Adam Greening</v>
          </cell>
          <cell r="C17">
            <v>35</v>
          </cell>
          <cell r="D17">
            <v>29</v>
          </cell>
          <cell r="E17">
            <v>28</v>
          </cell>
          <cell r="F17">
            <v>22</v>
          </cell>
          <cell r="G17">
            <v>114</v>
          </cell>
          <cell r="H17">
            <v>8</v>
          </cell>
          <cell r="I17">
            <v>36</v>
          </cell>
          <cell r="J17">
            <v>11</v>
          </cell>
          <cell r="K17">
            <v>69</v>
          </cell>
          <cell r="L17">
            <v>35</v>
          </cell>
          <cell r="M17">
            <v>22</v>
          </cell>
          <cell r="N17">
            <v>28.5</v>
          </cell>
          <cell r="O17">
            <v>16</v>
          </cell>
          <cell r="P17" t="str">
            <v>Adam Greening</v>
          </cell>
          <cell r="Q17">
            <v>64</v>
          </cell>
          <cell r="R17">
            <v>92</v>
          </cell>
          <cell r="S17">
            <v>17</v>
          </cell>
          <cell r="T17">
            <v>12</v>
          </cell>
          <cell r="U17">
            <v>7</v>
          </cell>
          <cell r="V17">
            <v>3</v>
          </cell>
          <cell r="W17">
            <v>16</v>
          </cell>
          <cell r="X17">
            <v>12</v>
          </cell>
          <cell r="Y17">
            <v>7</v>
          </cell>
          <cell r="Z17">
            <v>2</v>
          </cell>
          <cell r="AA17">
            <v>13</v>
          </cell>
          <cell r="AB17">
            <v>9</v>
          </cell>
          <cell r="AC17">
            <v>5</v>
          </cell>
          <cell r="AD17">
            <v>1</v>
          </cell>
          <cell r="AE17">
            <v>13</v>
          </cell>
          <cell r="AF17">
            <v>7</v>
          </cell>
          <cell r="AG17">
            <v>2</v>
          </cell>
          <cell r="AH17">
            <v>2</v>
          </cell>
        </row>
        <row r="18">
          <cell r="B18" t="str">
            <v>Adam Smith</v>
          </cell>
          <cell r="C18">
            <v>32</v>
          </cell>
          <cell r="D18">
            <v>25</v>
          </cell>
          <cell r="E18">
            <v>30</v>
          </cell>
          <cell r="F18">
            <v>26</v>
          </cell>
          <cell r="G18">
            <v>113</v>
          </cell>
          <cell r="H18">
            <v>16</v>
          </cell>
          <cell r="I18">
            <v>24</v>
          </cell>
          <cell r="J18">
            <v>16</v>
          </cell>
          <cell r="K18">
            <v>77</v>
          </cell>
          <cell r="L18">
            <v>32</v>
          </cell>
          <cell r="M18">
            <v>25</v>
          </cell>
          <cell r="N18">
            <v>28.25</v>
          </cell>
          <cell r="O18">
            <v>17</v>
          </cell>
          <cell r="P18" t="str">
            <v>Adam Smith</v>
          </cell>
          <cell r="Q18">
            <v>57</v>
          </cell>
          <cell r="R18">
            <v>87</v>
          </cell>
          <cell r="S18">
            <v>17</v>
          </cell>
          <cell r="T18">
            <v>10</v>
          </cell>
          <cell r="U18">
            <v>5</v>
          </cell>
          <cell r="V18">
            <v>0</v>
          </cell>
          <cell r="W18">
            <v>9</v>
          </cell>
          <cell r="X18">
            <v>7</v>
          </cell>
          <cell r="Y18">
            <v>4</v>
          </cell>
          <cell r="Z18">
            <v>1</v>
          </cell>
          <cell r="AA18">
            <v>17</v>
          </cell>
          <cell r="AB18">
            <v>9</v>
          </cell>
          <cell r="AC18">
            <v>6</v>
          </cell>
          <cell r="AD18">
            <v>3</v>
          </cell>
          <cell r="AE18">
            <v>14</v>
          </cell>
          <cell r="AF18">
            <v>8</v>
          </cell>
          <cell r="AG18">
            <v>2</v>
          </cell>
          <cell r="AH18">
            <v>2</v>
          </cell>
        </row>
        <row r="19">
          <cell r="B19" t="str">
            <v>Marc Talbot</v>
          </cell>
          <cell r="C19">
            <v>34</v>
          </cell>
          <cell r="D19">
            <v>26</v>
          </cell>
          <cell r="E19">
            <v>34</v>
          </cell>
          <cell r="F19">
            <v>17</v>
          </cell>
          <cell r="G19">
            <v>111</v>
          </cell>
          <cell r="H19">
            <v>18</v>
          </cell>
          <cell r="I19">
            <v>22</v>
          </cell>
          <cell r="J19">
            <v>20</v>
          </cell>
          <cell r="K19">
            <v>73</v>
          </cell>
          <cell r="L19">
            <v>34</v>
          </cell>
          <cell r="M19">
            <v>17</v>
          </cell>
          <cell r="N19">
            <v>27.75</v>
          </cell>
          <cell r="O19">
            <v>18</v>
          </cell>
          <cell r="P19" t="str">
            <v>Marc Talbot</v>
          </cell>
          <cell r="Q19">
            <v>60</v>
          </cell>
          <cell r="R19">
            <v>94</v>
          </cell>
          <cell r="S19">
            <v>17</v>
          </cell>
          <cell r="T19">
            <v>11</v>
          </cell>
          <cell r="U19">
            <v>6</v>
          </cell>
          <cell r="V19">
            <v>2</v>
          </cell>
          <cell r="W19">
            <v>7</v>
          </cell>
          <cell r="X19">
            <v>5</v>
          </cell>
          <cell r="Y19">
            <v>5</v>
          </cell>
          <cell r="Z19">
            <v>1</v>
          </cell>
          <cell r="AA19">
            <v>20</v>
          </cell>
          <cell r="AB19">
            <v>11</v>
          </cell>
          <cell r="AC19">
            <v>6</v>
          </cell>
          <cell r="AD19">
            <v>3</v>
          </cell>
          <cell r="AE19">
            <v>7</v>
          </cell>
          <cell r="AF19">
            <v>3</v>
          </cell>
          <cell r="AG19">
            <v>0</v>
          </cell>
          <cell r="AH19">
            <v>0</v>
          </cell>
        </row>
        <row r="20">
          <cell r="B20" t="str">
            <v>Giles Elliott</v>
          </cell>
          <cell r="C20">
            <v>28</v>
          </cell>
          <cell r="D20">
            <v>33</v>
          </cell>
          <cell r="E20">
            <v>28</v>
          </cell>
          <cell r="F20">
            <v>19</v>
          </cell>
          <cell r="G20">
            <v>108</v>
          </cell>
          <cell r="H20">
            <v>10</v>
          </cell>
          <cell r="I20">
            <v>30</v>
          </cell>
          <cell r="J20">
            <v>17</v>
          </cell>
          <cell r="K20">
            <v>74</v>
          </cell>
          <cell r="L20">
            <v>33</v>
          </cell>
          <cell r="M20">
            <v>19</v>
          </cell>
          <cell r="N20">
            <v>27</v>
          </cell>
          <cell r="O20">
            <v>19</v>
          </cell>
          <cell r="P20" t="str">
            <v>Giles Elliott</v>
          </cell>
          <cell r="Q20">
            <v>61</v>
          </cell>
          <cell r="R20">
            <v>89</v>
          </cell>
          <cell r="S20">
            <v>15</v>
          </cell>
          <cell r="T20">
            <v>8</v>
          </cell>
          <cell r="U20">
            <v>3</v>
          </cell>
          <cell r="V20">
            <v>0</v>
          </cell>
          <cell r="W20">
            <v>16</v>
          </cell>
          <cell r="X20">
            <v>8</v>
          </cell>
          <cell r="Y20">
            <v>5</v>
          </cell>
          <cell r="Z20">
            <v>1</v>
          </cell>
          <cell r="AA20">
            <v>15</v>
          </cell>
          <cell r="AB20">
            <v>10</v>
          </cell>
          <cell r="AC20">
            <v>4</v>
          </cell>
          <cell r="AD20">
            <v>2</v>
          </cell>
          <cell r="AE20">
            <v>4</v>
          </cell>
          <cell r="AF20">
            <v>4</v>
          </cell>
          <cell r="AG20">
            <v>3</v>
          </cell>
          <cell r="AH20">
            <v>1</v>
          </cell>
        </row>
        <row r="21">
          <cell r="B21" t="str">
            <v>Ali Barnett</v>
          </cell>
          <cell r="C21">
            <v>25</v>
          </cell>
          <cell r="D21">
            <v>29</v>
          </cell>
          <cell r="E21">
            <v>24</v>
          </cell>
          <cell r="F21">
            <v>26</v>
          </cell>
          <cell r="G21">
            <v>104</v>
          </cell>
          <cell r="H21">
            <v>16</v>
          </cell>
          <cell r="I21">
            <v>19</v>
          </cell>
          <cell r="J21">
            <v>22</v>
          </cell>
          <cell r="K21">
            <v>79</v>
          </cell>
          <cell r="L21">
            <v>29</v>
          </cell>
          <cell r="M21">
            <v>24</v>
          </cell>
          <cell r="N21">
            <v>26</v>
          </cell>
          <cell r="O21">
            <v>20</v>
          </cell>
          <cell r="P21" t="str">
            <v>Ali Barnett</v>
          </cell>
          <cell r="Q21">
            <v>54</v>
          </cell>
          <cell r="R21">
            <v>78</v>
          </cell>
          <cell r="S21">
            <v>13</v>
          </cell>
          <cell r="T21">
            <v>7</v>
          </cell>
          <cell r="U21">
            <v>0</v>
          </cell>
          <cell r="V21">
            <v>0</v>
          </cell>
          <cell r="W21">
            <v>14</v>
          </cell>
          <cell r="X21">
            <v>12</v>
          </cell>
          <cell r="Y21">
            <v>7</v>
          </cell>
          <cell r="Z21">
            <v>1</v>
          </cell>
          <cell r="AA21">
            <v>12</v>
          </cell>
          <cell r="AB21">
            <v>9</v>
          </cell>
          <cell r="AC21">
            <v>4</v>
          </cell>
          <cell r="AD21">
            <v>0</v>
          </cell>
          <cell r="AE21">
            <v>9</v>
          </cell>
          <cell r="AF21">
            <v>7</v>
          </cell>
          <cell r="AG21">
            <v>1</v>
          </cell>
          <cell r="AH21">
            <v>0</v>
          </cell>
        </row>
      </sheetData>
      <sheetData sheetId="1">
        <row r="24">
          <cell r="M24" t="str">
            <v>2 and 1</v>
          </cell>
          <cell r="N24" t="str">
            <v/>
          </cell>
          <cell r="O24" t="str">
            <v/>
          </cell>
        </row>
        <row r="49">
          <cell r="M49" t="str">
            <v/>
          </cell>
          <cell r="N49" t="str">
            <v/>
          </cell>
          <cell r="O49" t="str">
            <v>3 and 1</v>
          </cell>
        </row>
        <row r="74">
          <cell r="M74" t="str">
            <v/>
          </cell>
          <cell r="N74" t="str">
            <v>HALF</v>
          </cell>
          <cell r="O74" t="str">
            <v/>
          </cell>
        </row>
        <row r="99">
          <cell r="M99" t="str">
            <v/>
          </cell>
          <cell r="N99" t="str">
            <v>HALF</v>
          </cell>
          <cell r="O99" t="str">
            <v/>
          </cell>
        </row>
        <row r="124">
          <cell r="M124" t="str">
            <v/>
          </cell>
          <cell r="N124" t="str">
            <v/>
          </cell>
          <cell r="O124" t="str">
            <v>3 and 2</v>
          </cell>
        </row>
      </sheetData>
      <sheetData sheetId="2">
        <row r="24">
          <cell r="M24" t="str">
            <v/>
          </cell>
          <cell r="N24" t="str">
            <v/>
          </cell>
          <cell r="O24" t="str">
            <v>6 and 4</v>
          </cell>
        </row>
        <row r="49">
          <cell r="M49" t="str">
            <v/>
          </cell>
          <cell r="N49" t="str">
            <v/>
          </cell>
          <cell r="O49" t="str">
            <v>4 and 3</v>
          </cell>
        </row>
        <row r="74">
          <cell r="M74" t="str">
            <v>3 and 2</v>
          </cell>
          <cell r="N74" t="str">
            <v/>
          </cell>
          <cell r="O74" t="str">
            <v/>
          </cell>
        </row>
        <row r="99">
          <cell r="M99" t="str">
            <v/>
          </cell>
          <cell r="N99" t="str">
            <v>HALF</v>
          </cell>
          <cell r="O99" t="str">
            <v/>
          </cell>
        </row>
        <row r="124">
          <cell r="M124" t="str">
            <v/>
          </cell>
          <cell r="N124" t="str">
            <v/>
          </cell>
          <cell r="O124" t="str">
            <v>5 and 4</v>
          </cell>
        </row>
      </sheetData>
      <sheetData sheetId="3">
        <row r="24">
          <cell r="M24" t="str">
            <v>2 up</v>
          </cell>
          <cell r="N24" t="str">
            <v/>
          </cell>
          <cell r="O24" t="str">
            <v/>
          </cell>
        </row>
        <row r="49">
          <cell r="M49" t="str">
            <v>4 and 3</v>
          </cell>
          <cell r="N49" t="str">
            <v/>
          </cell>
          <cell r="O49" t="str">
            <v/>
          </cell>
        </row>
        <row r="74">
          <cell r="M74" t="str">
            <v>3 and 1</v>
          </cell>
          <cell r="N74" t="str">
            <v/>
          </cell>
          <cell r="O74" t="str">
            <v/>
          </cell>
        </row>
        <row r="99">
          <cell r="M99" t="str">
            <v>2 up</v>
          </cell>
          <cell r="N99" t="str">
            <v/>
          </cell>
          <cell r="O99" t="str">
            <v/>
          </cell>
        </row>
        <row r="124">
          <cell r="M124" t="str">
            <v/>
          </cell>
          <cell r="N124" t="str">
            <v/>
          </cell>
          <cell r="O124" t="str">
            <v>2 and 1</v>
          </cell>
        </row>
      </sheetData>
      <sheetData sheetId="4">
        <row r="24">
          <cell r="M24" t="str">
            <v/>
          </cell>
          <cell r="N24" t="str">
            <v/>
          </cell>
          <cell r="O24" t="str">
            <v>2 and 1</v>
          </cell>
        </row>
        <row r="49">
          <cell r="M49" t="str">
            <v/>
          </cell>
          <cell r="N49" t="str">
            <v/>
          </cell>
          <cell r="O49" t="str">
            <v>2 up</v>
          </cell>
        </row>
        <row r="74">
          <cell r="M74" t="str">
            <v/>
          </cell>
          <cell r="N74" t="str">
            <v/>
          </cell>
          <cell r="O74" t="str">
            <v>4 and 2</v>
          </cell>
        </row>
        <row r="99">
          <cell r="M99" t="str">
            <v/>
          </cell>
          <cell r="N99" t="str">
            <v>HALF</v>
          </cell>
          <cell r="O99" t="str">
            <v/>
          </cell>
        </row>
        <row r="124">
          <cell r="M124" t="str">
            <v/>
          </cell>
          <cell r="N124" t="str">
            <v/>
          </cell>
          <cell r="O124" t="str">
            <v>3 and 1</v>
          </cell>
        </row>
        <row r="149">
          <cell r="M149" t="str">
            <v>6 and 4</v>
          </cell>
          <cell r="N149" t="str">
            <v/>
          </cell>
          <cell r="O149" t="str">
            <v/>
          </cell>
        </row>
        <row r="174">
          <cell r="M174" t="str">
            <v>3 and 2</v>
          </cell>
          <cell r="N174" t="str">
            <v/>
          </cell>
          <cell r="O174" t="str">
            <v/>
          </cell>
        </row>
        <row r="199">
          <cell r="M199" t="str">
            <v>6 and 5</v>
          </cell>
          <cell r="N199" t="str">
            <v/>
          </cell>
          <cell r="O199" t="str">
            <v/>
          </cell>
        </row>
        <row r="224">
          <cell r="M224" t="str">
            <v>2 up</v>
          </cell>
          <cell r="N224" t="str">
            <v/>
          </cell>
          <cell r="O224" t="str">
            <v/>
          </cell>
        </row>
        <row r="249">
          <cell r="M249" t="str">
            <v/>
          </cell>
          <cell r="N249" t="str">
            <v>HALF</v>
          </cell>
          <cell r="O24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70" zoomScaleNormal="70" zoomScalePageLayoutView="0" workbookViewId="0" topLeftCell="A1">
      <selection activeCell="C2" sqref="C2:C11"/>
    </sheetView>
  </sheetViews>
  <sheetFormatPr defaultColWidth="9.140625" defaultRowHeight="12.75"/>
  <cols>
    <col min="1" max="1" width="23.28125" style="0" customWidth="1"/>
    <col min="3" max="3" width="24.421875" style="0" customWidth="1"/>
  </cols>
  <sheetData>
    <row r="1" spans="1:4" ht="12.75">
      <c r="A1" s="9" t="s">
        <v>48</v>
      </c>
      <c r="B1" s="14" t="s">
        <v>16</v>
      </c>
      <c r="C1" s="9" t="s">
        <v>37</v>
      </c>
      <c r="D1" s="14" t="s">
        <v>16</v>
      </c>
    </row>
    <row r="2" spans="1:4" ht="12.75">
      <c r="A2" s="3" t="s">
        <v>52</v>
      </c>
      <c r="B2" s="8">
        <v>-1</v>
      </c>
      <c r="C2" s="3" t="s">
        <v>3</v>
      </c>
      <c r="D2" s="8">
        <v>9</v>
      </c>
    </row>
    <row r="3" spans="1:4" ht="12.75">
      <c r="A3" s="3" t="s">
        <v>105</v>
      </c>
      <c r="B3" s="8">
        <v>18</v>
      </c>
      <c r="C3" s="3" t="s">
        <v>54</v>
      </c>
      <c r="D3" s="19">
        <v>1</v>
      </c>
    </row>
    <row r="4" spans="1:4" ht="12.75">
      <c r="A4" s="3" t="s">
        <v>2</v>
      </c>
      <c r="B4" s="8">
        <v>24</v>
      </c>
      <c r="C4" s="3" t="s">
        <v>106</v>
      </c>
      <c r="D4" s="7">
        <v>18</v>
      </c>
    </row>
    <row r="5" spans="1:4" ht="12.75">
      <c r="A5" s="3" t="s">
        <v>8</v>
      </c>
      <c r="B5" s="8">
        <v>28</v>
      </c>
      <c r="C5" s="3" t="s">
        <v>53</v>
      </c>
      <c r="D5" s="8">
        <v>13</v>
      </c>
    </row>
    <row r="6" spans="1:4" ht="12.75">
      <c r="A6" s="3" t="s">
        <v>51</v>
      </c>
      <c r="B6" s="8">
        <v>6</v>
      </c>
      <c r="C6" s="3" t="s">
        <v>6</v>
      </c>
      <c r="D6" s="7">
        <v>1</v>
      </c>
    </row>
    <row r="7" spans="1:4" ht="12.75">
      <c r="A7" s="3" t="s">
        <v>0</v>
      </c>
      <c r="B7" s="8">
        <v>7</v>
      </c>
      <c r="C7" s="3" t="s">
        <v>36</v>
      </c>
      <c r="D7" s="7">
        <v>23</v>
      </c>
    </row>
    <row r="8" spans="1:4" ht="12.75">
      <c r="A8" s="3" t="s">
        <v>49</v>
      </c>
      <c r="B8" s="8">
        <v>16</v>
      </c>
      <c r="C8" s="3" t="s">
        <v>7</v>
      </c>
      <c r="D8" s="8">
        <v>18</v>
      </c>
    </row>
    <row r="9" spans="1:4" ht="12.75">
      <c r="A9" s="3" t="s">
        <v>1</v>
      </c>
      <c r="B9" s="8">
        <v>17</v>
      </c>
      <c r="C9" s="3" t="s">
        <v>5</v>
      </c>
      <c r="D9" s="8">
        <v>22</v>
      </c>
    </row>
    <row r="10" spans="1:4" ht="12.75">
      <c r="A10" s="3" t="s">
        <v>55</v>
      </c>
      <c r="B10" s="8">
        <v>6</v>
      </c>
      <c r="C10" s="3" t="s">
        <v>50</v>
      </c>
      <c r="D10" s="8">
        <v>13</v>
      </c>
    </row>
    <row r="11" spans="1:4" ht="12.75">
      <c r="A11" s="3" t="s">
        <v>58</v>
      </c>
      <c r="B11" s="8">
        <v>19</v>
      </c>
      <c r="C11" s="3" t="s">
        <v>4</v>
      </c>
      <c r="D11" s="7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Normal="115" zoomScaleSheetLayoutView="100" zoomScalePageLayoutView="0" workbookViewId="0" topLeftCell="A1">
      <selection activeCell="H32" sqref="H32:J32"/>
    </sheetView>
  </sheetViews>
  <sheetFormatPr defaultColWidth="9.140625" defaultRowHeight="12.75"/>
  <cols>
    <col min="1" max="1" width="7.7109375" style="0" customWidth="1"/>
    <col min="2" max="2" width="5.140625" style="5" customWidth="1"/>
    <col min="3" max="3" width="16.57421875" style="5" customWidth="1"/>
    <col min="4" max="4" width="5.57421875" style="6" customWidth="1"/>
    <col min="5" max="5" width="14.140625" style="6" customWidth="1"/>
    <col min="6" max="6" width="9.28125" style="6" customWidth="1"/>
    <col min="7" max="7" width="6.7109375" style="6" customWidth="1"/>
    <col min="8" max="8" width="16.00390625" style="5" bestFit="1" customWidth="1"/>
    <col min="9" max="9" width="5.57421875" style="6" bestFit="1" customWidth="1"/>
    <col min="10" max="10" width="16.421875" style="5" customWidth="1"/>
    <col min="11" max="11" width="5.57421875" style="6" bestFit="1" customWidth="1"/>
    <col min="12" max="12" width="18.7109375" style="6" customWidth="1"/>
    <col min="13" max="13" width="7.28125" style="0" customWidth="1"/>
    <col min="14" max="14" width="18.57421875" style="0" customWidth="1"/>
    <col min="15" max="15" width="6.28125" style="6" customWidth="1"/>
    <col min="16" max="16" width="18.421875" style="0" customWidth="1"/>
    <col min="17" max="17" width="6.421875" style="0" customWidth="1"/>
    <col min="18" max="18" width="19.00390625" style="0" customWidth="1"/>
  </cols>
  <sheetData>
    <row r="1" ht="12.75">
      <c r="A1" s="10" t="s">
        <v>63</v>
      </c>
    </row>
    <row r="2" spans="1:12" ht="12.75">
      <c r="A2" s="140" t="s">
        <v>17</v>
      </c>
      <c r="B2" s="140" t="s">
        <v>13</v>
      </c>
      <c r="C2" s="142" t="s">
        <v>37</v>
      </c>
      <c r="D2" s="142"/>
      <c r="E2" s="142"/>
      <c r="F2" s="142"/>
      <c r="G2" s="68"/>
      <c r="H2" s="138" t="s">
        <v>48</v>
      </c>
      <c r="I2" s="138"/>
      <c r="J2" s="138"/>
      <c r="K2" s="138"/>
      <c r="L2" s="11"/>
    </row>
    <row r="3" spans="1:12" ht="12.75">
      <c r="A3" s="140"/>
      <c r="B3" s="140"/>
      <c r="C3" s="69" t="s">
        <v>9</v>
      </c>
      <c r="D3" s="70" t="s">
        <v>16</v>
      </c>
      <c r="E3" s="69" t="s">
        <v>10</v>
      </c>
      <c r="F3" s="70" t="s">
        <v>16</v>
      </c>
      <c r="G3" s="68"/>
      <c r="H3" s="71" t="s">
        <v>11</v>
      </c>
      <c r="I3" s="71" t="s">
        <v>16</v>
      </c>
      <c r="J3" s="71" t="s">
        <v>12</v>
      </c>
      <c r="K3" s="71" t="s">
        <v>16</v>
      </c>
      <c r="L3" s="4"/>
    </row>
    <row r="4" spans="1:12" s="18" customFormat="1" ht="12" customHeight="1">
      <c r="A4" s="29" t="s">
        <v>18</v>
      </c>
      <c r="B4" s="29">
        <v>1308</v>
      </c>
      <c r="C4" s="44" t="s">
        <v>53</v>
      </c>
      <c r="D4" s="22">
        <f>ROUNDDOWN(VLOOKUP('Tee Times'!C4,'Exact Handicaps'!$A$1:$I$21,2,FALSE),0)</f>
        <v>13</v>
      </c>
      <c r="E4" s="44" t="s">
        <v>3</v>
      </c>
      <c r="F4" s="22">
        <f>ROUNDDOWN(VLOOKUP('Tee Times'!E4,'Exact Handicaps'!$A$1:$I$21,2,FALSE),0)</f>
        <v>9</v>
      </c>
      <c r="G4" s="23" t="s">
        <v>14</v>
      </c>
      <c r="H4" s="32" t="s">
        <v>52</v>
      </c>
      <c r="I4" s="15">
        <f>ROUNDDOWN(VLOOKUP('Tee Times'!H4,'Exact Handicaps'!$A$1:$I$21,2,FALSE),0)</f>
        <v>-1</v>
      </c>
      <c r="J4" s="32" t="s">
        <v>49</v>
      </c>
      <c r="K4" s="15">
        <f>ROUNDDOWN(VLOOKUP('Tee Times'!J4,'Exact Handicaps'!$A$1:$I$21,2,FALSE),0)</f>
        <v>16</v>
      </c>
      <c r="L4" s="4"/>
    </row>
    <row r="5" spans="1:12" ht="12.75">
      <c r="A5" s="16" t="s">
        <v>19</v>
      </c>
      <c r="B5" s="33">
        <v>1316</v>
      </c>
      <c r="C5" s="44" t="s">
        <v>50</v>
      </c>
      <c r="D5" s="22">
        <f>ROUNDDOWN(VLOOKUP('Tee Times'!C5,'Exact Handicaps'!$A$1:$I$21,2,FALSE),0)</f>
        <v>13</v>
      </c>
      <c r="E5" s="44" t="s">
        <v>36</v>
      </c>
      <c r="F5" s="22">
        <f>ROUNDDOWN(VLOOKUP('Tee Times'!E5,'Exact Handicaps'!$A$1:$I$21,2,FALSE),0)</f>
        <v>23</v>
      </c>
      <c r="G5" s="24" t="s">
        <v>14</v>
      </c>
      <c r="H5" s="32" t="s">
        <v>1</v>
      </c>
      <c r="I5" s="15">
        <f>ROUNDDOWN(VLOOKUP('Tee Times'!H5,'Exact Handicaps'!$A$1:$I$21,2,FALSE),0)</f>
        <v>17</v>
      </c>
      <c r="J5" s="32" t="s">
        <v>55</v>
      </c>
      <c r="K5" s="15">
        <f>ROUNDDOWN(VLOOKUP('Tee Times'!J5,'Exact Handicaps'!$A$1:$I$21,2,FALSE),0)</f>
        <v>6</v>
      </c>
      <c r="L5" s="4"/>
    </row>
    <row r="6" spans="1:12" ht="12.75">
      <c r="A6" s="29" t="s">
        <v>20</v>
      </c>
      <c r="B6" s="29">
        <v>1324</v>
      </c>
      <c r="C6" s="44" t="s">
        <v>6</v>
      </c>
      <c r="D6" s="22">
        <f>ROUNDDOWN(VLOOKUP('Tee Times'!C6,'Exact Handicaps'!$A$1:$I$21,2,FALSE),0)</f>
        <v>1</v>
      </c>
      <c r="E6" s="44" t="s">
        <v>7</v>
      </c>
      <c r="F6" s="22">
        <f>ROUNDDOWN(VLOOKUP('Tee Times'!E6,'Exact Handicaps'!$A$1:$I$21,2,FALSE),0)</f>
        <v>18</v>
      </c>
      <c r="G6" s="23" t="s">
        <v>14</v>
      </c>
      <c r="H6" s="32" t="s">
        <v>2</v>
      </c>
      <c r="I6" s="15">
        <f>ROUNDDOWN(VLOOKUP('Tee Times'!H6,'Exact Handicaps'!$A$1:$I$21,2,FALSE),0)</f>
        <v>24</v>
      </c>
      <c r="J6" s="32" t="s">
        <v>8</v>
      </c>
      <c r="K6" s="15">
        <f>ROUNDDOWN(VLOOKUP('Tee Times'!J6,'Exact Handicaps'!$A$1:$I$21,2,FALSE),0)</f>
        <v>28</v>
      </c>
      <c r="L6" s="4"/>
    </row>
    <row r="7" spans="1:11" ht="12.75">
      <c r="A7" s="16" t="s">
        <v>21</v>
      </c>
      <c r="B7" s="33">
        <v>1332</v>
      </c>
      <c r="C7" s="44" t="s">
        <v>4</v>
      </c>
      <c r="D7" s="22">
        <f>ROUNDDOWN(VLOOKUP('Tee Times'!C7,'Exact Handicaps'!$A$1:$I$21,2,FALSE),0)</f>
        <v>13</v>
      </c>
      <c r="E7" s="44" t="s">
        <v>106</v>
      </c>
      <c r="F7" s="22">
        <f>ROUNDDOWN(VLOOKUP('Tee Times'!E7,'Exact Handicaps'!$A$1:$I$21,2,FALSE),0)</f>
        <v>18</v>
      </c>
      <c r="G7" s="24" t="s">
        <v>14</v>
      </c>
      <c r="H7" s="32" t="s">
        <v>0</v>
      </c>
      <c r="I7" s="15">
        <f>ROUNDDOWN(VLOOKUP('Tee Times'!H7,'Exact Handicaps'!$A$1:$I$21,2,FALSE),0)</f>
        <v>7</v>
      </c>
      <c r="J7" s="32" t="s">
        <v>51</v>
      </c>
      <c r="K7" s="15">
        <f>ROUNDDOWN(VLOOKUP('Tee Times'!J7,'Exact Handicaps'!$A$1:$I$21,2,FALSE),0)</f>
        <v>6</v>
      </c>
    </row>
    <row r="8" spans="1:11" ht="12.75">
      <c r="A8" s="29" t="s">
        <v>47</v>
      </c>
      <c r="B8" s="29">
        <v>1340</v>
      </c>
      <c r="C8" s="44" t="s">
        <v>5</v>
      </c>
      <c r="D8" s="22">
        <f>ROUNDDOWN(VLOOKUP('Tee Times'!C8,'Exact Handicaps'!$A$1:$I$21,2,FALSE),0)</f>
        <v>22</v>
      </c>
      <c r="E8" s="44" t="s">
        <v>54</v>
      </c>
      <c r="F8" s="22">
        <f>ROUNDDOWN(VLOOKUP('Tee Times'!E8,'Exact Handicaps'!$A$1:$I$21,2,FALSE),0)</f>
        <v>1</v>
      </c>
      <c r="G8" s="23" t="s">
        <v>14</v>
      </c>
      <c r="H8" s="32" t="s">
        <v>58</v>
      </c>
      <c r="I8" s="15">
        <f>ROUNDDOWN(VLOOKUP('Tee Times'!H8,'Exact Handicaps'!$A$1:$I$21,2,FALSE),0)</f>
        <v>19</v>
      </c>
      <c r="J8" s="32" t="s">
        <v>105</v>
      </c>
      <c r="K8" s="15">
        <f>ROUNDDOWN(VLOOKUP('Tee Times'!J8,'Exact Handicaps'!$A$1:$I$21,2,FALSE),0)</f>
        <v>18</v>
      </c>
    </row>
    <row r="9" spans="2:13" ht="12.75">
      <c r="B9" s="35"/>
      <c r="C9" s="66"/>
      <c r="D9" s="67"/>
      <c r="E9" s="34"/>
      <c r="F9" s="67"/>
      <c r="G9" s="36"/>
      <c r="H9" s="35"/>
      <c r="L9" s="11"/>
      <c r="M9" s="6"/>
    </row>
    <row r="10" spans="1:13" ht="12.75">
      <c r="A10" s="10" t="s">
        <v>66</v>
      </c>
      <c r="L10" s="13"/>
      <c r="M10" s="6"/>
    </row>
    <row r="11" spans="1:15" ht="15.75" customHeight="1">
      <c r="A11" s="140" t="s">
        <v>17</v>
      </c>
      <c r="B11" s="140" t="s">
        <v>13</v>
      </c>
      <c r="C11" s="142" t="s">
        <v>37</v>
      </c>
      <c r="D11" s="142"/>
      <c r="E11" s="142"/>
      <c r="F11" s="142"/>
      <c r="G11" s="68"/>
      <c r="H11" s="138" t="s">
        <v>48</v>
      </c>
      <c r="I11" s="138"/>
      <c r="J11" s="138"/>
      <c r="K11" s="138"/>
      <c r="L11" s="13"/>
      <c r="M11" s="6"/>
      <c r="O11"/>
    </row>
    <row r="12" spans="1:15" ht="12.75">
      <c r="A12" s="140"/>
      <c r="B12" s="140"/>
      <c r="C12" s="69" t="s">
        <v>9</v>
      </c>
      <c r="D12" s="70" t="s">
        <v>16</v>
      </c>
      <c r="E12" s="69" t="s">
        <v>10</v>
      </c>
      <c r="F12" s="70" t="s">
        <v>16</v>
      </c>
      <c r="G12" s="68"/>
      <c r="H12" s="71" t="s">
        <v>11</v>
      </c>
      <c r="I12" s="71" t="s">
        <v>16</v>
      </c>
      <c r="J12" s="71" t="s">
        <v>12</v>
      </c>
      <c r="K12" s="71" t="s">
        <v>16</v>
      </c>
      <c r="L12" s="13"/>
      <c r="M12" s="6"/>
      <c r="O12"/>
    </row>
    <row r="13" spans="1:16" ht="12.75">
      <c r="A13" s="29" t="s">
        <v>18</v>
      </c>
      <c r="B13" s="29">
        <v>1130</v>
      </c>
      <c r="C13" s="44" t="s">
        <v>50</v>
      </c>
      <c r="D13" s="22">
        <f>IF(ISERROR(ROUNDDOWN(VLOOKUP('Tee Times'!C13,'Exact Handicaps'!$A$1:$I$21,4,FALSE),0)),"",((ROUNDDOWN(VLOOKUP('Tee Times'!C13,'Exact Handicaps'!$A$1:$I$21,4,FALSE),0))))</f>
        <v>13</v>
      </c>
      <c r="E13" s="44" t="s">
        <v>5</v>
      </c>
      <c r="F13" s="22">
        <f>IF(ISERROR(ROUNDDOWN(VLOOKUP('Tee Times'!E13,'Exact Handicaps'!$A$1:$I$21,4,FALSE),0)),"",((ROUNDDOWN(VLOOKUP('Tee Times'!E13,'Exact Handicaps'!$A$1:$I$21,4,FALSE),0))))</f>
        <v>22</v>
      </c>
      <c r="G13" s="23" t="s">
        <v>14</v>
      </c>
      <c r="H13" s="32" t="s">
        <v>52</v>
      </c>
      <c r="I13" s="15">
        <f>IF(ISERROR(ROUNDDOWN(VLOOKUP('Tee Times'!H13,'Exact Handicaps'!$A$1:$I$21,4,FALSE),0)),"",((ROUNDDOWN(VLOOKUP('Tee Times'!H13,'Exact Handicaps'!$A$1:$I$21,4,FALSE),0))))</f>
        <v>-1</v>
      </c>
      <c r="J13" s="32" t="s">
        <v>8</v>
      </c>
      <c r="K13" s="15">
        <f>IF(ISERROR(ROUNDDOWN(VLOOKUP('Tee Times'!J13,'Exact Handicaps'!$A$1:$I$21,4,FALSE),0)),"",((ROUNDDOWN(VLOOKUP('Tee Times'!J13,'Exact Handicaps'!$A$1:$I$21,4,FALSE),0))))</f>
        <v>28</v>
      </c>
      <c r="L13" s="13"/>
      <c r="N13" s="12" t="s">
        <v>37</v>
      </c>
      <c r="P13" s="12" t="s">
        <v>15</v>
      </c>
    </row>
    <row r="14" spans="1:16" ht="12.75">
      <c r="A14" s="16" t="s">
        <v>19</v>
      </c>
      <c r="B14" s="33">
        <v>1138</v>
      </c>
      <c r="C14" s="44" t="s">
        <v>6</v>
      </c>
      <c r="D14" s="22">
        <f>IF(ISERROR(ROUNDDOWN(VLOOKUP('Tee Times'!C14,'Exact Handicaps'!$A$1:$I$21,4,FALSE),0)),"",((ROUNDDOWN(VLOOKUP('Tee Times'!C14,'Exact Handicaps'!$A$1:$I$21,4,FALSE),0))))</f>
        <v>1</v>
      </c>
      <c r="E14" s="44" t="s">
        <v>3</v>
      </c>
      <c r="F14" s="22">
        <f>IF(ISERROR(ROUNDDOWN(VLOOKUP('Tee Times'!E14,'Exact Handicaps'!$A$1:$I$21,4,FALSE),0)),"",((ROUNDDOWN(VLOOKUP('Tee Times'!E14,'Exact Handicaps'!$A$1:$I$21,4,FALSE),0))))</f>
        <v>9</v>
      </c>
      <c r="G14" s="23" t="s">
        <v>14</v>
      </c>
      <c r="H14" s="32" t="s">
        <v>49</v>
      </c>
      <c r="I14" s="15">
        <f>IF(ISERROR(ROUNDDOWN(VLOOKUP('Tee Times'!H14,'Exact Handicaps'!$A$1:$I$21,4,FALSE),0)),"",((ROUNDDOWN(VLOOKUP('Tee Times'!H14,'Exact Handicaps'!$A$1:$I$21,4,FALSE),0))))</f>
        <v>16</v>
      </c>
      <c r="J14" s="32" t="s">
        <v>2</v>
      </c>
      <c r="K14" s="15">
        <f>IF(ISERROR(ROUNDDOWN(VLOOKUP('Tee Times'!J14,'Exact Handicaps'!$A$1:$I$21,4,FALSE),0)),"",((ROUNDDOWN(VLOOKUP('Tee Times'!J14,'Exact Handicaps'!$A$1:$I$21,4,FALSE),0))))</f>
        <v>23</v>
      </c>
      <c r="L14" s="13"/>
      <c r="N14" s="12"/>
      <c r="P14" s="12"/>
    </row>
    <row r="15" spans="1:16" ht="12.75">
      <c r="A15" s="29" t="s">
        <v>20</v>
      </c>
      <c r="B15" s="29">
        <v>1146</v>
      </c>
      <c r="C15" s="44" t="s">
        <v>54</v>
      </c>
      <c r="D15" s="22">
        <f>IF(ISERROR(ROUNDDOWN(VLOOKUP('Tee Times'!C15,'Exact Handicaps'!$A$1:$I$21,4,FALSE),0)),"",((ROUNDDOWN(VLOOKUP('Tee Times'!C15,'Exact Handicaps'!$A$1:$I$21,4,FALSE),0))))</f>
        <v>1</v>
      </c>
      <c r="E15" s="44" t="s">
        <v>106</v>
      </c>
      <c r="F15" s="22">
        <f>IF(ISERROR(ROUNDDOWN(VLOOKUP('Tee Times'!E15,'Exact Handicaps'!$A$1:$I$21,4,FALSE),0)),"",((ROUNDDOWN(VLOOKUP('Tee Times'!E15,'Exact Handicaps'!$A$1:$I$21,4,FALSE),0))))</f>
        <v>18</v>
      </c>
      <c r="G15" s="24" t="s">
        <v>14</v>
      </c>
      <c r="H15" s="32" t="s">
        <v>105</v>
      </c>
      <c r="I15" s="15">
        <f>IF(ISERROR(ROUNDDOWN(VLOOKUP('Tee Times'!H15,'Exact Handicaps'!$A$1:$I$21,4,FALSE),0)),"",((ROUNDDOWN(VLOOKUP('Tee Times'!H15,'Exact Handicaps'!$A$1:$I$21,4,FALSE),0))))</f>
        <v>18</v>
      </c>
      <c r="J15" s="32" t="s">
        <v>55</v>
      </c>
      <c r="K15" s="15">
        <f>IF(ISERROR(ROUNDDOWN(VLOOKUP('Tee Times'!J15,'Exact Handicaps'!$A$1:$I$21,4,FALSE),0)),"",((ROUNDDOWN(VLOOKUP('Tee Times'!J15,'Exact Handicaps'!$A$1:$I$21,4,FALSE),0))))</f>
        <v>6</v>
      </c>
      <c r="N15" s="1"/>
      <c r="P15" s="3"/>
    </row>
    <row r="16" spans="1:16" ht="12.75">
      <c r="A16" s="16" t="s">
        <v>21</v>
      </c>
      <c r="B16" s="33">
        <v>1154</v>
      </c>
      <c r="C16" s="44" t="s">
        <v>53</v>
      </c>
      <c r="D16" s="22">
        <f>IF(ISERROR(ROUNDDOWN(VLOOKUP('Tee Times'!C16,'Exact Handicaps'!$A$1:$I$21,4,FALSE),0)),"",((ROUNDDOWN(VLOOKUP('Tee Times'!C16,'Exact Handicaps'!$A$1:$I$21,4,FALSE),0))))</f>
        <v>13</v>
      </c>
      <c r="E16" s="44" t="s">
        <v>4</v>
      </c>
      <c r="F16" s="22">
        <f>IF(ISERROR(ROUNDDOWN(VLOOKUP('Tee Times'!E16,'Exact Handicaps'!$A$1:$I$21,4,FALSE),0)),"",((ROUNDDOWN(VLOOKUP('Tee Times'!E16,'Exact Handicaps'!$A$1:$I$21,4,FALSE),0))))</f>
        <v>15</v>
      </c>
      <c r="G16" s="24" t="s">
        <v>14</v>
      </c>
      <c r="H16" s="32" t="s">
        <v>51</v>
      </c>
      <c r="I16" s="15">
        <f>IF(ISERROR(ROUNDDOWN(VLOOKUP('Tee Times'!H16,'Exact Handicaps'!$A$1:$I$21,4,FALSE),0)),"",((ROUNDDOWN(VLOOKUP('Tee Times'!H16,'Exact Handicaps'!$A$1:$I$21,4,FALSE),0))))</f>
        <v>7</v>
      </c>
      <c r="J16" s="32" t="s">
        <v>1</v>
      </c>
      <c r="K16" s="15">
        <f>IF(ISERROR(ROUNDDOWN(VLOOKUP('Tee Times'!J16,'Exact Handicaps'!$A$1:$I$21,4,FALSE),0)),"",((ROUNDDOWN(VLOOKUP('Tee Times'!J16,'Exact Handicaps'!$A$1:$I$21,4,FALSE),0))))</f>
        <v>14</v>
      </c>
      <c r="M16" s="3"/>
      <c r="N16" s="3" t="str">
        <f>Players!C2</f>
        <v>Adam Greening</v>
      </c>
      <c r="O16" s="36"/>
      <c r="P16" s="3" t="str">
        <f>Players!A2</f>
        <v>Adam Douglas</v>
      </c>
    </row>
    <row r="17" spans="1:16" s="37" customFormat="1" ht="12.75">
      <c r="A17" s="29" t="s">
        <v>47</v>
      </c>
      <c r="B17" s="29">
        <v>1202</v>
      </c>
      <c r="C17" s="44" t="s">
        <v>36</v>
      </c>
      <c r="D17" s="22">
        <f>IF(ISERROR(ROUNDDOWN(VLOOKUP('Tee Times'!C17,'Exact Handicaps'!$A$1:$I$21,4,FALSE),0)),"",((ROUNDDOWN(VLOOKUP('Tee Times'!C17,'Exact Handicaps'!$A$1:$I$21,4,FALSE),0))))</f>
        <v>25</v>
      </c>
      <c r="E17" s="44" t="s">
        <v>7</v>
      </c>
      <c r="F17" s="22">
        <f>IF(ISERROR(ROUNDDOWN(VLOOKUP('Tee Times'!E17,'Exact Handicaps'!$A$1:$I$21,4,FALSE),0)),"",((ROUNDDOWN(VLOOKUP('Tee Times'!E17,'Exact Handicaps'!$A$1:$I$21,4,FALSE),0))))</f>
        <v>18</v>
      </c>
      <c r="G17" s="23" t="s">
        <v>14</v>
      </c>
      <c r="H17" s="32" t="s">
        <v>0</v>
      </c>
      <c r="I17" s="15">
        <f>IF(ISERROR(ROUNDDOWN(VLOOKUP('Tee Times'!H17,'Exact Handicaps'!$A$1:$I$21,4,FALSE),0)),"",((ROUNDDOWN(VLOOKUP('Tee Times'!H17,'Exact Handicaps'!$A$1:$I$21,4,FALSE),0))))</f>
        <v>7</v>
      </c>
      <c r="J17" s="32" t="s">
        <v>58</v>
      </c>
      <c r="K17" s="15">
        <f>IF(ISERROR(ROUNDDOWN(VLOOKUP('Tee Times'!J17,'Exact Handicaps'!$A$1:$I$21,4,FALSE),0)),"",((ROUNDDOWN(VLOOKUP('Tee Times'!J17,'Exact Handicaps'!$A$1:$I$21,4,FALSE),0))))</f>
        <v>19</v>
      </c>
      <c r="L17" s="36"/>
      <c r="M17" s="3"/>
      <c r="N17" s="3" t="str">
        <f>Players!C3</f>
        <v>Alex Davies</v>
      </c>
      <c r="O17" s="6"/>
      <c r="P17" s="3" t="str">
        <f>Players!A3</f>
        <v>Marc Talbot</v>
      </c>
    </row>
    <row r="18" spans="1:16" ht="12.75">
      <c r="A18" s="34"/>
      <c r="B18" s="35"/>
      <c r="C18" s="35"/>
      <c r="D18" s="36"/>
      <c r="E18" s="36"/>
      <c r="F18" s="36"/>
      <c r="G18" s="36"/>
      <c r="H18" s="35"/>
      <c r="I18" s="36"/>
      <c r="J18" s="35"/>
      <c r="K18" s="36"/>
      <c r="M18" s="3"/>
      <c r="N18" s="3" t="str">
        <f>Players!C4</f>
        <v>Giles Elliott</v>
      </c>
      <c r="P18" s="3" t="str">
        <f>Players!A4</f>
        <v>Tony Chapman</v>
      </c>
    </row>
    <row r="19" spans="1:16" ht="12.75">
      <c r="A19" s="10" t="s">
        <v>64</v>
      </c>
      <c r="L19" s="13"/>
      <c r="M19" s="3"/>
      <c r="N19" s="3" t="str">
        <f>Players!C5</f>
        <v>Basil Davies</v>
      </c>
      <c r="P19" s="3" t="str">
        <f>Players!A5</f>
        <v>Daniel Nash</v>
      </c>
    </row>
    <row r="20" spans="1:16" ht="12.75">
      <c r="A20" s="140" t="s">
        <v>17</v>
      </c>
      <c r="B20" s="140" t="s">
        <v>13</v>
      </c>
      <c r="C20" s="142" t="s">
        <v>37</v>
      </c>
      <c r="D20" s="142"/>
      <c r="E20" s="142"/>
      <c r="F20" s="142"/>
      <c r="G20" s="68"/>
      <c r="H20" s="138" t="s">
        <v>48</v>
      </c>
      <c r="I20" s="138"/>
      <c r="J20" s="138"/>
      <c r="K20" s="138"/>
      <c r="L20" s="13"/>
      <c r="M20" s="3"/>
      <c r="N20" s="3" t="str">
        <f>Players!C6</f>
        <v>Dave Chapman</v>
      </c>
      <c r="P20" s="3" t="str">
        <f>Players!A6</f>
        <v>James Douglas</v>
      </c>
    </row>
    <row r="21" spans="1:16" ht="12.75">
      <c r="A21" s="140"/>
      <c r="B21" s="140"/>
      <c r="C21" s="69" t="s">
        <v>9</v>
      </c>
      <c r="D21" s="70" t="s">
        <v>16</v>
      </c>
      <c r="E21" s="69" t="s">
        <v>10</v>
      </c>
      <c r="F21" s="70" t="s">
        <v>16</v>
      </c>
      <c r="G21" s="68"/>
      <c r="H21" s="71" t="s">
        <v>11</v>
      </c>
      <c r="I21" s="71" t="s">
        <v>16</v>
      </c>
      <c r="J21" s="71" t="s">
        <v>12</v>
      </c>
      <c r="K21" s="71" t="s">
        <v>16</v>
      </c>
      <c r="L21" s="13"/>
      <c r="M21" s="3"/>
      <c r="N21" s="3" t="str">
        <f>Players!C7</f>
        <v>Ali Barnett</v>
      </c>
      <c r="P21" s="3" t="str">
        <f>Players!A7</f>
        <v>James Spackman</v>
      </c>
    </row>
    <row r="22" spans="1:16" ht="12.75">
      <c r="A22" s="29" t="s">
        <v>18</v>
      </c>
      <c r="B22" s="29">
        <v>1230</v>
      </c>
      <c r="C22" s="44" t="s">
        <v>5</v>
      </c>
      <c r="D22" s="22">
        <f>IF(ISERROR(ROUNDDOWN(VLOOKUP('Tee Times'!C22,'Exact Handicaps'!$A$1:$I$21,6,FALSE),0)),"",((ROUNDDOWN(VLOOKUP('Tee Times'!C22,'Exact Handicaps'!$A$1:$I$21,6,FALSE),0))))</f>
        <v>22</v>
      </c>
      <c r="E22" s="44" t="s">
        <v>3</v>
      </c>
      <c r="F22" s="22">
        <f>IF(ISERROR(ROUNDDOWN(VLOOKUP('Tee Times'!E22,'Exact Handicaps'!$A$1:$I$21,6,FALSE),0)),"",((ROUNDDOWN(VLOOKUP('Tee Times'!E22,'Exact Handicaps'!$A$1:$I$21,6,FALSE),0))))</f>
        <v>9</v>
      </c>
      <c r="G22" s="23" t="s">
        <v>14</v>
      </c>
      <c r="H22" s="32" t="s">
        <v>58</v>
      </c>
      <c r="I22" s="15">
        <f>IF(ISERROR(ROUNDDOWN(VLOOKUP('Tee Times'!H22,'Exact Handicaps'!$A$1:$I$21,6,FALSE),0)),"",((ROUNDDOWN(VLOOKUP('Tee Times'!H22,'Exact Handicaps'!$A$1:$I$21,6,FALSE),0))))</f>
        <v>20</v>
      </c>
      <c r="J22" s="32" t="s">
        <v>55</v>
      </c>
      <c r="K22" s="15">
        <f>IF(ISERROR(ROUNDDOWN(VLOOKUP('Tee Times'!J22,'Exact Handicaps'!$A$1:$I$21,6,FALSE),0)),"",((ROUNDDOWN(VLOOKUP('Tee Times'!J22,'Exact Handicaps'!$A$1:$I$21,6,FALSE),0))))</f>
        <v>2</v>
      </c>
      <c r="L22" s="13"/>
      <c r="M22" s="3"/>
      <c r="N22" s="3" t="str">
        <f>Players!C8</f>
        <v>Adam Smith</v>
      </c>
      <c r="P22" s="3" t="str">
        <f>Players!A8</f>
        <v>Marcus Street</v>
      </c>
    </row>
    <row r="23" spans="1:16" ht="12.75">
      <c r="A23" s="16" t="s">
        <v>19</v>
      </c>
      <c r="B23" s="33">
        <v>1238</v>
      </c>
      <c r="C23" s="44" t="s">
        <v>106</v>
      </c>
      <c r="D23" s="22">
        <f>IF(ISERROR(ROUNDDOWN(VLOOKUP('Tee Times'!C23,'Exact Handicaps'!$A$1:$I$21,6,FALSE),0)),"",((ROUNDDOWN(VLOOKUP('Tee Times'!C23,'Exact Handicaps'!$A$1:$I$21,6,FALSE),0))))</f>
        <v>18</v>
      </c>
      <c r="E23" s="44" t="s">
        <v>50</v>
      </c>
      <c r="F23" s="22">
        <f>IF(ISERROR(ROUNDDOWN(VLOOKUP('Tee Times'!E23,'Exact Handicaps'!$A$1:$I$21,6,FALSE),0)),"",((ROUNDDOWN(VLOOKUP('Tee Times'!E23,'Exact Handicaps'!$A$1:$I$21,6,FALSE),0))))</f>
        <v>12</v>
      </c>
      <c r="G23" s="24" t="s">
        <v>14</v>
      </c>
      <c r="H23" s="32" t="s">
        <v>105</v>
      </c>
      <c r="I23" s="15">
        <f>IF(ISERROR(ROUNDDOWN(VLOOKUP('Tee Times'!H23,'Exact Handicaps'!$A$1:$I$21,6,FALSE),0)),"",((ROUNDDOWN(VLOOKUP('Tee Times'!H23,'Exact Handicaps'!$A$1:$I$21,6,FALSE),0))))</f>
        <v>19</v>
      </c>
      <c r="J23" s="32" t="s">
        <v>49</v>
      </c>
      <c r="K23" s="15">
        <f>IF(ISERROR(ROUNDDOWN(VLOOKUP('Tee Times'!J23,'Exact Handicaps'!$A$1:$I$21,6,FALSE),0)),"",((ROUNDDOWN(VLOOKUP('Tee Times'!J23,'Exact Handicaps'!$A$1:$I$21,6,FALSE),0))))</f>
        <v>14</v>
      </c>
      <c r="L23" s="13"/>
      <c r="M23" s="3"/>
      <c r="N23" s="3" t="str">
        <f>Players!C9</f>
        <v>Luke Gallagher</v>
      </c>
      <c r="P23" s="3" t="str">
        <f>Players!A9</f>
        <v>Roger Chapman</v>
      </c>
    </row>
    <row r="24" spans="1:17" ht="13.5" customHeight="1">
      <c r="A24" s="29" t="s">
        <v>20</v>
      </c>
      <c r="B24" s="29">
        <v>1246</v>
      </c>
      <c r="C24" s="44" t="s">
        <v>4</v>
      </c>
      <c r="D24" s="22">
        <f>IF(ISERROR(ROUNDDOWN(VLOOKUP('Tee Times'!C24,'Exact Handicaps'!$A$1:$I$21,6,FALSE),0)),"",((ROUNDDOWN(VLOOKUP('Tee Times'!C24,'Exact Handicaps'!$A$1:$I$21,6,FALSE),0))))</f>
        <v>15</v>
      </c>
      <c r="E24" s="44" t="s">
        <v>6</v>
      </c>
      <c r="F24" s="22">
        <f>IF(ISERROR(ROUNDDOWN(VLOOKUP('Tee Times'!E24,'Exact Handicaps'!$A$1:$I$21,6,FALSE),0)),"",((ROUNDDOWN(VLOOKUP('Tee Times'!E24,'Exact Handicaps'!$A$1:$I$21,6,FALSE),0))))</f>
        <v>1</v>
      </c>
      <c r="G24" s="23" t="s">
        <v>14</v>
      </c>
      <c r="H24" s="32" t="s">
        <v>0</v>
      </c>
      <c r="I24" s="15">
        <f>IF(ISERROR(ROUNDDOWN(VLOOKUP('Tee Times'!H24,'Exact Handicaps'!$A$1:$I$21,6,FALSE),0)),"",((ROUNDDOWN(VLOOKUP('Tee Times'!H24,'Exact Handicaps'!$A$1:$I$21,6,FALSE),0))))</f>
        <v>9</v>
      </c>
      <c r="J24" s="32" t="s">
        <v>1</v>
      </c>
      <c r="K24" s="15">
        <f>IF(ISERROR(ROUNDDOWN(VLOOKUP('Tee Times'!J24,'Exact Handicaps'!$A$1:$I$21,6,FALSE),0)),"",((ROUNDDOWN(VLOOKUP('Tee Times'!J24,'Exact Handicaps'!$A$1:$I$21,6,FALSE),0))))</f>
        <v>15</v>
      </c>
      <c r="M24" s="3"/>
      <c r="N24" s="3" t="str">
        <f>Players!C10</f>
        <v>Moray Fleming</v>
      </c>
      <c r="P24" s="3" t="str">
        <f>Players!A10</f>
        <v>Scott Saurin</v>
      </c>
      <c r="Q24" s="67"/>
    </row>
    <row r="25" spans="1:17" ht="12.75">
      <c r="A25" s="16" t="s">
        <v>21</v>
      </c>
      <c r="B25" s="33">
        <v>1254</v>
      </c>
      <c r="C25" s="44" t="s">
        <v>7</v>
      </c>
      <c r="D25" s="22">
        <f>IF(ISERROR(ROUNDDOWN(VLOOKUP('Tee Times'!C25,'Exact Handicaps'!$A$1:$I$21,6,FALSE),0)),"",((ROUNDDOWN(VLOOKUP('Tee Times'!C25,'Exact Handicaps'!$A$1:$I$21,6,FALSE),0))))</f>
        <v>20</v>
      </c>
      <c r="E25" s="44" t="s">
        <v>54</v>
      </c>
      <c r="F25" s="22">
        <f>IF(ISERROR(ROUNDDOWN(VLOOKUP('Tee Times'!E25,'Exact Handicaps'!$A$1:$I$21,6,FALSE),0)),"",((ROUNDDOWN(VLOOKUP('Tee Times'!E25,'Exact Handicaps'!$A$1:$I$21,6,FALSE),0))))</f>
        <v>2</v>
      </c>
      <c r="G25" s="24" t="s">
        <v>14</v>
      </c>
      <c r="H25" s="32" t="s">
        <v>52</v>
      </c>
      <c r="I25" s="15">
        <f>IF(ISERROR(ROUNDDOWN(VLOOKUP('Tee Times'!H25,'Exact Handicaps'!$A$1:$I$21,6,FALSE),0)),"",((ROUNDDOWN(VLOOKUP('Tee Times'!H25,'Exact Handicaps'!$A$1:$I$21,6,FALSE),0))))</f>
        <v>-1</v>
      </c>
      <c r="J25" s="32" t="s">
        <v>2</v>
      </c>
      <c r="K25" s="15">
        <f>IF(ISERROR(ROUNDDOWN(VLOOKUP('Tee Times'!J25,'Exact Handicaps'!$A$1:$I$21,6,FALSE),0)),"",((ROUNDDOWN(VLOOKUP('Tee Times'!J25,'Exact Handicaps'!$A$1:$I$21,6,FALSE),0))))</f>
        <v>21</v>
      </c>
      <c r="M25" s="3"/>
      <c r="N25" s="3" t="str">
        <f>Players!C11</f>
        <v>Tony Williams</v>
      </c>
      <c r="P25" s="3" t="str">
        <f>Players!A11</f>
        <v>James Webb</v>
      </c>
      <c r="Q25" s="67"/>
    </row>
    <row r="26" spans="1:16" ht="12.75">
      <c r="A26" s="29" t="s">
        <v>47</v>
      </c>
      <c r="B26" s="29">
        <v>1302</v>
      </c>
      <c r="C26" s="44" t="s">
        <v>53</v>
      </c>
      <c r="D26" s="22">
        <f>IF(ISERROR(ROUNDDOWN(VLOOKUP('Tee Times'!C26,'Exact Handicaps'!$A$1:$I$21,6,FALSE),0)),"",((ROUNDDOWN(VLOOKUP('Tee Times'!C26,'Exact Handicaps'!$A$1:$I$21,6,FALSE),0))))</f>
        <v>13</v>
      </c>
      <c r="E26" s="44" t="s">
        <v>36</v>
      </c>
      <c r="F26" s="22">
        <f>IF(ISERROR(ROUNDDOWN(VLOOKUP('Tee Times'!E26,'Exact Handicaps'!$A$1:$I$21,6,FALSE),0)),"",((ROUNDDOWN(VLOOKUP('Tee Times'!E26,'Exact Handicaps'!$A$1:$I$21,6,FALSE),0))))</f>
        <v>25</v>
      </c>
      <c r="G26" s="23" t="s">
        <v>14</v>
      </c>
      <c r="H26" s="32" t="s">
        <v>51</v>
      </c>
      <c r="I26" s="15">
        <f>IF(ISERROR(ROUNDDOWN(VLOOKUP('Tee Times'!H26,'Exact Handicaps'!$A$1:$I$21,6,FALSE),0)),"",((ROUNDDOWN(VLOOKUP('Tee Times'!H26,'Exact Handicaps'!$A$1:$I$21,6,FALSE),0))))</f>
        <v>7</v>
      </c>
      <c r="J26" s="32" t="s">
        <v>8</v>
      </c>
      <c r="K26" s="15">
        <f>IF(ISERROR(ROUNDDOWN(VLOOKUP('Tee Times'!J26,'Exact Handicaps'!$A$1:$I$21,6,FALSE),0)),"",((ROUNDDOWN(VLOOKUP('Tee Times'!J26,'Exact Handicaps'!$A$1:$I$21,6,FALSE),0))))</f>
        <v>28</v>
      </c>
      <c r="M26" s="6"/>
      <c r="O26"/>
      <c r="P26" s="6"/>
    </row>
    <row r="27" spans="13:16" ht="12.75">
      <c r="M27" s="13"/>
      <c r="O27"/>
      <c r="P27" s="6"/>
    </row>
    <row r="28" spans="1:13" ht="12.75">
      <c r="A28" s="10" t="s">
        <v>65</v>
      </c>
      <c r="M28" s="13"/>
    </row>
    <row r="29" spans="1:15" ht="12.75">
      <c r="A29" s="140" t="s">
        <v>17</v>
      </c>
      <c r="B29" s="140" t="s">
        <v>13</v>
      </c>
      <c r="C29" s="137" t="s">
        <v>37</v>
      </c>
      <c r="D29" s="137"/>
      <c r="E29" s="137"/>
      <c r="F29" s="137"/>
      <c r="G29" s="139"/>
      <c r="H29" s="138" t="s">
        <v>48</v>
      </c>
      <c r="I29" s="138"/>
      <c r="J29" s="138"/>
      <c r="K29" s="138"/>
      <c r="L29"/>
      <c r="N29" s="6"/>
      <c r="O29"/>
    </row>
    <row r="30" spans="1:15" ht="12.75" customHeight="1">
      <c r="A30" s="140"/>
      <c r="B30" s="140"/>
      <c r="C30" s="137" t="s">
        <v>9</v>
      </c>
      <c r="D30" s="137"/>
      <c r="E30" s="137"/>
      <c r="F30" s="72" t="s">
        <v>16</v>
      </c>
      <c r="G30" s="139"/>
      <c r="H30" s="138" t="s">
        <v>10</v>
      </c>
      <c r="I30" s="138"/>
      <c r="J30" s="138"/>
      <c r="K30" s="71" t="s">
        <v>16</v>
      </c>
      <c r="L30"/>
      <c r="O30"/>
    </row>
    <row r="31" spans="1:15" ht="12.75" customHeight="1">
      <c r="A31" s="144" t="s">
        <v>18</v>
      </c>
      <c r="B31" s="141">
        <v>1300</v>
      </c>
      <c r="C31" s="136" t="s">
        <v>6</v>
      </c>
      <c r="D31" s="136"/>
      <c r="E31" s="136"/>
      <c r="F31" s="22">
        <f>IF(ISERROR(ROUNDDOWN(VLOOKUP('Tee Times'!C31,'Exact Handicaps'!$A$1:$I$21,8,FALSE),0)),"",((ROUNDDOWN(VLOOKUP('Tee Times'!C31,'Exact Handicaps'!$A$1:$I$21,8,FALSE),0))))</f>
        <v>1</v>
      </c>
      <c r="G31" s="23" t="s">
        <v>14</v>
      </c>
      <c r="H31" s="133" t="s">
        <v>58</v>
      </c>
      <c r="I31" s="134"/>
      <c r="J31" s="135"/>
      <c r="K31" s="15">
        <f>IF(ISERROR(ROUNDDOWN(VLOOKUP('Tee Times'!H31,'Exact Handicaps'!$A$1:$I$21,8,FALSE),0)),"",((ROUNDDOWN(VLOOKUP('Tee Times'!H31,'Exact Handicaps'!$A$1:$I$21,8,FALSE),0))))</f>
        <v>20</v>
      </c>
      <c r="L31"/>
      <c r="O31"/>
    </row>
    <row r="32" spans="1:15" ht="12.75" customHeight="1">
      <c r="A32" s="144"/>
      <c r="B32" s="141"/>
      <c r="C32" s="136" t="s">
        <v>53</v>
      </c>
      <c r="D32" s="136"/>
      <c r="E32" s="136"/>
      <c r="F32" s="22">
        <f>IF(ISERROR(ROUNDDOWN(VLOOKUP('Tee Times'!C32,'Exact Handicaps'!$A$1:$I$21,8,FALSE),0)),"",((ROUNDDOWN(VLOOKUP('Tee Times'!C32,'Exact Handicaps'!$A$1:$I$21,8,FALSE),0))))</f>
        <v>12</v>
      </c>
      <c r="G32" s="23" t="s">
        <v>14</v>
      </c>
      <c r="H32" s="133" t="s">
        <v>49</v>
      </c>
      <c r="I32" s="134"/>
      <c r="J32" s="135"/>
      <c r="K32" s="15">
        <f>IF(ISERROR(ROUNDDOWN(VLOOKUP('Tee Times'!H32,'Exact Handicaps'!$A$1:$I$21,8,FALSE),0)),"",((ROUNDDOWN(VLOOKUP('Tee Times'!H32,'Exact Handicaps'!$A$1:$I$21,8,FALSE),0))))</f>
        <v>15</v>
      </c>
      <c r="L32"/>
      <c r="O32"/>
    </row>
    <row r="33" spans="1:15" ht="12.75" customHeight="1">
      <c r="A33" s="145" t="s">
        <v>19</v>
      </c>
      <c r="B33" s="143">
        <v>1308</v>
      </c>
      <c r="C33" s="136" t="s">
        <v>3</v>
      </c>
      <c r="D33" s="136"/>
      <c r="E33" s="136"/>
      <c r="F33" s="22">
        <f>IF(ISERROR(ROUNDDOWN(VLOOKUP('Tee Times'!C33,'Exact Handicaps'!$A$1:$I$21,8,FALSE),0)),"",((ROUNDDOWN(VLOOKUP('Tee Times'!C33,'Exact Handicaps'!$A$1:$I$21,8,FALSE),0))))</f>
        <v>10</v>
      </c>
      <c r="G33" s="68" t="s">
        <v>14</v>
      </c>
      <c r="H33" s="133" t="s">
        <v>55</v>
      </c>
      <c r="I33" s="134"/>
      <c r="J33" s="135"/>
      <c r="K33" s="15">
        <f>IF(ISERROR(ROUNDDOWN(VLOOKUP('Tee Times'!H33,'Exact Handicaps'!$A$1:$I$21,8,FALSE),0)),"",((ROUNDDOWN(VLOOKUP('Tee Times'!H33,'Exact Handicaps'!$A$1:$I$21,8,FALSE),0))))</f>
        <v>3</v>
      </c>
      <c r="L33"/>
      <c r="O33"/>
    </row>
    <row r="34" spans="1:15" ht="12.75" customHeight="1">
      <c r="A34" s="145"/>
      <c r="B34" s="143"/>
      <c r="C34" s="136" t="s">
        <v>36</v>
      </c>
      <c r="D34" s="136"/>
      <c r="E34" s="136"/>
      <c r="F34" s="22">
        <f>IF(ISERROR(ROUNDDOWN(VLOOKUP('Tee Times'!C34,'Exact Handicaps'!$A$1:$I$21,8,FALSE),0)),"",((ROUNDDOWN(VLOOKUP('Tee Times'!C34,'Exact Handicaps'!$A$1:$I$21,8,FALSE),0))))</f>
        <v>26</v>
      </c>
      <c r="G34" s="68" t="s">
        <v>14</v>
      </c>
      <c r="H34" s="133" t="s">
        <v>52</v>
      </c>
      <c r="I34" s="134"/>
      <c r="J34" s="135"/>
      <c r="K34" s="15">
        <f>IF(ISERROR(ROUNDDOWN(VLOOKUP('Tee Times'!H34,'Exact Handicaps'!$A$1:$I$21,8,FALSE),0)),"",((ROUNDDOWN(VLOOKUP('Tee Times'!H34,'Exact Handicaps'!$A$1:$I$21,8,FALSE),0))))</f>
        <v>1</v>
      </c>
      <c r="L34"/>
      <c r="O34"/>
    </row>
    <row r="35" spans="1:15" ht="12.75" customHeight="1">
      <c r="A35" s="144" t="s">
        <v>20</v>
      </c>
      <c r="B35" s="141">
        <v>1316</v>
      </c>
      <c r="C35" s="136" t="s">
        <v>7</v>
      </c>
      <c r="D35" s="136"/>
      <c r="E35" s="136"/>
      <c r="F35" s="22">
        <f>IF(ISERROR(ROUNDDOWN(VLOOKUP('Tee Times'!C35,'Exact Handicaps'!$A$1:$I$21,8,FALSE),0)),"",((ROUNDDOWN(VLOOKUP('Tee Times'!C35,'Exact Handicaps'!$A$1:$I$21,8,FALSE),0))))</f>
        <v>21</v>
      </c>
      <c r="G35" s="23" t="s">
        <v>14</v>
      </c>
      <c r="H35" s="133" t="s">
        <v>0</v>
      </c>
      <c r="I35" s="134"/>
      <c r="J35" s="135"/>
      <c r="K35" s="15">
        <f>IF(ISERROR(ROUNDDOWN(VLOOKUP('Tee Times'!H35,'Exact Handicaps'!$A$1:$I$21,8,FALSE),0)),"",((ROUNDDOWN(VLOOKUP('Tee Times'!H35,'Exact Handicaps'!$A$1:$I$21,8,FALSE),0))))</f>
        <v>10</v>
      </c>
      <c r="L35"/>
      <c r="O35"/>
    </row>
    <row r="36" spans="1:15" ht="12.75" customHeight="1">
      <c r="A36" s="144"/>
      <c r="B36" s="141"/>
      <c r="C36" s="136" t="s">
        <v>50</v>
      </c>
      <c r="D36" s="136"/>
      <c r="E36" s="136"/>
      <c r="F36" s="22">
        <f>IF(ISERROR(ROUNDDOWN(VLOOKUP('Tee Times'!C36,'Exact Handicaps'!$A$1:$I$21,8,FALSE),0)),"",((ROUNDDOWN(VLOOKUP('Tee Times'!C36,'Exact Handicaps'!$A$1:$I$21,8,FALSE),0))))</f>
        <v>13</v>
      </c>
      <c r="G36" s="23" t="s">
        <v>14</v>
      </c>
      <c r="H36" s="133" t="s">
        <v>2</v>
      </c>
      <c r="I36" s="134"/>
      <c r="J36" s="135"/>
      <c r="K36" s="15">
        <f>IF(ISERROR(ROUNDDOWN(VLOOKUP('Tee Times'!H36,'Exact Handicaps'!$A$1:$I$21,8,FALSE),0)),"",((ROUNDDOWN(VLOOKUP('Tee Times'!H36,'Exact Handicaps'!$A$1:$I$21,8,FALSE),0))))</f>
        <v>17</v>
      </c>
      <c r="L36"/>
      <c r="O36"/>
    </row>
    <row r="37" spans="1:15" ht="12.75" customHeight="1">
      <c r="A37" s="145" t="s">
        <v>21</v>
      </c>
      <c r="B37" s="143">
        <v>1324</v>
      </c>
      <c r="C37" s="136" t="s">
        <v>54</v>
      </c>
      <c r="D37" s="136"/>
      <c r="E37" s="136"/>
      <c r="F37" s="22">
        <f>IF(ISERROR(ROUNDDOWN(VLOOKUP('Tee Times'!C37,'Exact Handicaps'!$A$1:$I$21,8,FALSE),0)),"",((ROUNDDOWN(VLOOKUP('Tee Times'!C37,'Exact Handicaps'!$A$1:$I$21,8,FALSE),0))))</f>
        <v>2</v>
      </c>
      <c r="G37" s="68" t="s">
        <v>14</v>
      </c>
      <c r="H37" s="133" t="s">
        <v>8</v>
      </c>
      <c r="I37" s="134"/>
      <c r="J37" s="135"/>
      <c r="K37" s="15">
        <f>IF(ISERROR(ROUNDDOWN(VLOOKUP('Tee Times'!H37,'Exact Handicaps'!$A$1:$I$21,8,FALSE),0)),"",((ROUNDDOWN(VLOOKUP('Tee Times'!H37,'Exact Handicaps'!$A$1:$I$21,8,FALSE),0))))</f>
        <v>28</v>
      </c>
      <c r="L37"/>
      <c r="O37"/>
    </row>
    <row r="38" spans="1:15" ht="12.75" customHeight="1">
      <c r="A38" s="145"/>
      <c r="B38" s="143"/>
      <c r="C38" s="136" t="s">
        <v>4</v>
      </c>
      <c r="D38" s="136"/>
      <c r="E38" s="136"/>
      <c r="F38" s="22">
        <f>IF(ISERROR(ROUNDDOWN(VLOOKUP('Tee Times'!C38,'Exact Handicaps'!$A$1:$I$21,8,FALSE),0)),"",((ROUNDDOWN(VLOOKUP('Tee Times'!C38,'Exact Handicaps'!$A$1:$I$21,8,FALSE),0))))</f>
        <v>16</v>
      </c>
      <c r="G38" s="68" t="s">
        <v>14</v>
      </c>
      <c r="H38" s="133" t="s">
        <v>1</v>
      </c>
      <c r="I38" s="134"/>
      <c r="J38" s="135"/>
      <c r="K38" s="15">
        <f>IF(ISERROR(ROUNDDOWN(VLOOKUP('Tee Times'!H38,'Exact Handicaps'!$A$1:$I$21,8,FALSE),0)),"",((ROUNDDOWN(VLOOKUP('Tee Times'!H38,'Exact Handicaps'!$A$1:$I$21,8,FALSE),0))))</f>
        <v>15</v>
      </c>
      <c r="L38"/>
      <c r="O38"/>
    </row>
    <row r="39" spans="1:15" ht="12.75" customHeight="1">
      <c r="A39" s="144" t="s">
        <v>47</v>
      </c>
      <c r="B39" s="141">
        <v>1332</v>
      </c>
      <c r="C39" s="136" t="s">
        <v>5</v>
      </c>
      <c r="D39" s="136"/>
      <c r="E39" s="136"/>
      <c r="F39" s="22">
        <f>IF(ISERROR(ROUNDDOWN(VLOOKUP('Tee Times'!C39,'Exact Handicaps'!$A$1:$I$21,8,FALSE),0)),"",((ROUNDDOWN(VLOOKUP('Tee Times'!C39,'Exact Handicaps'!$A$1:$I$21,8,FALSE),0))))</f>
        <v>23</v>
      </c>
      <c r="G39" s="23" t="s">
        <v>14</v>
      </c>
      <c r="H39" s="133" t="s">
        <v>105</v>
      </c>
      <c r="I39" s="134"/>
      <c r="J39" s="135"/>
      <c r="K39" s="15">
        <f>IF(ISERROR(ROUNDDOWN(VLOOKUP('Tee Times'!H39,'Exact Handicaps'!$A$1:$I$21,8,FALSE),0)),"",((ROUNDDOWN(VLOOKUP('Tee Times'!H39,'Exact Handicaps'!$A$1:$I$21,8,FALSE),0))))</f>
        <v>19</v>
      </c>
      <c r="L39"/>
      <c r="O39"/>
    </row>
    <row r="40" spans="1:15" ht="12.75" customHeight="1">
      <c r="A40" s="144"/>
      <c r="B40" s="141"/>
      <c r="C40" s="136" t="s">
        <v>106</v>
      </c>
      <c r="D40" s="136"/>
      <c r="E40" s="136"/>
      <c r="F40" s="22">
        <f>IF(ISERROR(ROUNDDOWN(VLOOKUP('Tee Times'!C40,'Exact Handicaps'!$A$1:$I$21,8,FALSE),0)),"",((ROUNDDOWN(VLOOKUP('Tee Times'!C40,'Exact Handicaps'!$A$1:$I$21,8,FALSE),0))))</f>
        <v>19</v>
      </c>
      <c r="G40" s="23" t="s">
        <v>14</v>
      </c>
      <c r="H40" s="133" t="s">
        <v>51</v>
      </c>
      <c r="I40" s="134"/>
      <c r="J40" s="135"/>
      <c r="K40" s="15">
        <f>IF(ISERROR(ROUNDDOWN(VLOOKUP('Tee Times'!H40,'Exact Handicaps'!$A$1:$I$21,8,FALSE),0)),"",((ROUNDDOWN(VLOOKUP('Tee Times'!H40,'Exact Handicaps'!$A$1:$I$21,8,FALSE),0))))</f>
        <v>7</v>
      </c>
      <c r="L40"/>
      <c r="O40"/>
    </row>
    <row r="41" spans="13:15" ht="12.75" customHeight="1">
      <c r="M41" s="6"/>
      <c r="O41"/>
    </row>
    <row r="42" ht="12.75" customHeight="1">
      <c r="M42" s="6"/>
    </row>
  </sheetData>
  <sheetProtection/>
  <mergeCells count="49">
    <mergeCell ref="B33:B34"/>
    <mergeCell ref="B35:B36"/>
    <mergeCell ref="B29:B30"/>
    <mergeCell ref="A39:A40"/>
    <mergeCell ref="B39:B40"/>
    <mergeCell ref="A33:A34"/>
    <mergeCell ref="A35:A36"/>
    <mergeCell ref="A37:A38"/>
    <mergeCell ref="B37:B38"/>
    <mergeCell ref="A31:A32"/>
    <mergeCell ref="H2:K2"/>
    <mergeCell ref="C20:F20"/>
    <mergeCell ref="C11:F11"/>
    <mergeCell ref="H11:K11"/>
    <mergeCell ref="H20:K20"/>
    <mergeCell ref="C2:F2"/>
    <mergeCell ref="A11:A12"/>
    <mergeCell ref="B31:B32"/>
    <mergeCell ref="B11:B12"/>
    <mergeCell ref="A20:A21"/>
    <mergeCell ref="A29:A30"/>
    <mergeCell ref="B20:B21"/>
    <mergeCell ref="A2:A3"/>
    <mergeCell ref="B2:B3"/>
    <mergeCell ref="C32:E32"/>
    <mergeCell ref="H38:J38"/>
    <mergeCell ref="C38:E38"/>
    <mergeCell ref="H31:J31"/>
    <mergeCell ref="C33:E33"/>
    <mergeCell ref="C34:E34"/>
    <mergeCell ref="H32:J32"/>
    <mergeCell ref="H33:J33"/>
    <mergeCell ref="H34:J34"/>
    <mergeCell ref="C29:F29"/>
    <mergeCell ref="H29:K29"/>
    <mergeCell ref="C30:E30"/>
    <mergeCell ref="C31:E31"/>
    <mergeCell ref="G29:G30"/>
    <mergeCell ref="H30:J30"/>
    <mergeCell ref="H40:J40"/>
    <mergeCell ref="C40:E40"/>
    <mergeCell ref="H37:J37"/>
    <mergeCell ref="H35:J35"/>
    <mergeCell ref="H36:J36"/>
    <mergeCell ref="C36:E36"/>
    <mergeCell ref="C37:E37"/>
    <mergeCell ref="C35:E35"/>
    <mergeCell ref="C39:E39"/>
    <mergeCell ref="H39:J39"/>
  </mergeCells>
  <dataValidations count="4">
    <dataValidation type="list" showInputMessage="1" showErrorMessage="1" sqref="E22:E26 E13:E17 C13:C17 C4:C8 E4:E8 C22:C26">
      <formula1>$N$15:$N$25</formula1>
    </dataValidation>
    <dataValidation type="list" showInputMessage="1" showErrorMessage="1" sqref="J13:J17 H22:H26 J4:J8 H13:H17 H4:H8 J22:J26">
      <formula1>$P$15:$P$25</formula1>
    </dataValidation>
    <dataValidation type="list" allowBlank="1" showInputMessage="1" showErrorMessage="1" sqref="C31:E40">
      <formula1>$N$15:$N$25</formula1>
    </dataValidation>
    <dataValidation type="list" allowBlank="1" showInputMessage="1" showErrorMessage="1" sqref="H31:J40">
      <formula1>$P$15:$P$25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7.7109375" style="0" customWidth="1"/>
    <col min="2" max="2" width="5.140625" style="5" customWidth="1"/>
    <col min="3" max="3" width="16.00390625" style="5" customWidth="1"/>
    <col min="4" max="4" width="6.57421875" style="6" customWidth="1"/>
    <col min="5" max="5" width="16.421875" style="6" customWidth="1"/>
    <col min="6" max="6" width="6.00390625" style="6" customWidth="1"/>
    <col min="7" max="7" width="14.421875" style="6" customWidth="1"/>
    <col min="8" max="8" width="17.140625" style="6" customWidth="1"/>
    <col min="9" max="9" width="10.8515625" style="6" customWidth="1"/>
    <col min="10" max="10" width="16.140625" style="6" customWidth="1"/>
    <col min="11" max="11" width="12.7109375" style="6" customWidth="1"/>
    <col min="12" max="12" width="10.8515625" style="6" bestFit="1" customWidth="1"/>
    <col min="13" max="13" width="6.7109375" style="6" customWidth="1"/>
    <col min="14" max="14" width="12.57421875" style="6" bestFit="1" customWidth="1"/>
    <col min="15" max="15" width="4.421875" style="6" customWidth="1"/>
    <col min="16" max="17" width="3.421875" style="0" customWidth="1"/>
    <col min="18" max="21" width="3.421875" style="0" hidden="1" customWidth="1"/>
    <col min="22" max="22" width="7.28125" style="0" hidden="1" customWidth="1"/>
    <col min="23" max="31" width="3.421875" style="0" hidden="1" customWidth="1"/>
    <col min="32" max="32" width="3.57421875" style="0" hidden="1" customWidth="1"/>
    <col min="33" max="37" width="3.57421875" style="0" customWidth="1"/>
    <col min="38" max="41" width="3.7109375" style="0" customWidth="1"/>
  </cols>
  <sheetData>
    <row r="1" ht="13.5" thickBot="1">
      <c r="A1" s="10" t="s">
        <v>63</v>
      </c>
    </row>
    <row r="2" spans="1:15" ht="12.75">
      <c r="A2" s="157" t="s">
        <v>17</v>
      </c>
      <c r="B2" s="154" t="s">
        <v>13</v>
      </c>
      <c r="C2" s="156" t="s">
        <v>37</v>
      </c>
      <c r="D2" s="156"/>
      <c r="E2" s="156"/>
      <c r="F2" s="156"/>
      <c r="G2" s="77"/>
      <c r="H2" s="146" t="s">
        <v>15</v>
      </c>
      <c r="I2" s="146"/>
      <c r="J2" s="146"/>
      <c r="K2" s="146"/>
      <c r="L2" s="152" t="s">
        <v>23</v>
      </c>
      <c r="M2" s="152"/>
      <c r="N2" s="153"/>
      <c r="O2" s="11"/>
    </row>
    <row r="3" spans="1:29" ht="15" customHeight="1" thickBot="1">
      <c r="A3" s="158"/>
      <c r="B3" s="155"/>
      <c r="C3" s="45" t="s">
        <v>9</v>
      </c>
      <c r="D3" s="17" t="s">
        <v>22</v>
      </c>
      <c r="E3" s="45" t="s">
        <v>10</v>
      </c>
      <c r="F3" s="17" t="s">
        <v>22</v>
      </c>
      <c r="G3" s="79"/>
      <c r="H3" s="30" t="s">
        <v>11</v>
      </c>
      <c r="I3" s="90" t="s">
        <v>22</v>
      </c>
      <c r="J3" s="30" t="s">
        <v>12</v>
      </c>
      <c r="K3" s="90" t="s">
        <v>22</v>
      </c>
      <c r="L3" s="46" t="s">
        <v>144</v>
      </c>
      <c r="M3" s="46" t="s">
        <v>24</v>
      </c>
      <c r="N3" s="47" t="s">
        <v>25</v>
      </c>
      <c r="O3" s="4"/>
      <c r="R3" t="s">
        <v>152</v>
      </c>
      <c r="S3" t="s">
        <v>149</v>
      </c>
      <c r="T3" t="s">
        <v>153</v>
      </c>
      <c r="V3" t="s">
        <v>146</v>
      </c>
      <c r="W3" t="s">
        <v>146</v>
      </c>
      <c r="X3" t="s">
        <v>147</v>
      </c>
      <c r="Y3" t="s">
        <v>147</v>
      </c>
      <c r="Z3" t="s">
        <v>147</v>
      </c>
      <c r="AA3" t="s">
        <v>147</v>
      </c>
      <c r="AB3" t="s">
        <v>146</v>
      </c>
      <c r="AC3" t="s">
        <v>146</v>
      </c>
    </row>
    <row r="4" spans="1:29" s="18" customFormat="1" ht="12.75">
      <c r="A4" s="39" t="s">
        <v>18</v>
      </c>
      <c r="B4" s="38">
        <f>'Tee Times'!B4</f>
        <v>1308</v>
      </c>
      <c r="C4" s="43" t="str">
        <f>'Tee Times'!C4</f>
        <v>Basil Davies</v>
      </c>
      <c r="D4" s="50">
        <f>VLOOKUP(C4,'[1]Scoreboard'!$B$2:$G$21,2,FALSE)</f>
        <v>31</v>
      </c>
      <c r="E4" s="43" t="str">
        <f>'Tee Times'!E4</f>
        <v>Adam Greening</v>
      </c>
      <c r="F4" s="50">
        <f>VLOOKUP(E4,'[1]Scoreboard'!$B$2:$G$21,2,FALSE)</f>
        <v>35</v>
      </c>
      <c r="G4" s="25" t="s">
        <v>14</v>
      </c>
      <c r="H4" s="31" t="str">
        <f>'Tee Times'!H4</f>
        <v>Adam Douglas</v>
      </c>
      <c r="I4" s="53">
        <f>VLOOKUP(H4,'[1]Scoreboard'!$B$2:$G$21,2,FALSE)</f>
        <v>36</v>
      </c>
      <c r="J4" s="31" t="str">
        <f>'Tee Times'!J4</f>
        <v>Marcus Street</v>
      </c>
      <c r="K4" s="53">
        <f>VLOOKUP(J4,'[1]Scoreboard'!$B$2:$G$21,2,FALSE)</f>
        <v>32</v>
      </c>
      <c r="L4" s="56" t="str">
        <f>'[1]Day 1 FBBB Matchplay'!$M$24</f>
        <v>2 and 1</v>
      </c>
      <c r="M4" s="56">
        <f>'[1]Day 1 FBBB Matchplay'!$N$24</f>
      </c>
      <c r="N4" s="57">
        <f>'[1]Day 1 FBBB Matchplay'!$O$24</f>
      </c>
      <c r="O4" s="4"/>
      <c r="R4">
        <f aca="true" t="shared" si="0" ref="R4:T8">IF(COUNTA(L4)&gt;0,1,0)-COUNTIF(L4,"")</f>
        <v>1</v>
      </c>
      <c r="S4">
        <f t="shared" si="0"/>
        <v>0</v>
      </c>
      <c r="T4">
        <f t="shared" si="0"/>
        <v>0</v>
      </c>
      <c r="U4"/>
      <c r="V4" t="str">
        <f>IF(R4=1,C4,"")</f>
        <v>Basil Davies</v>
      </c>
      <c r="W4" t="str">
        <f>IF(R4=1,E4,"")</f>
        <v>Adam Greening</v>
      </c>
      <c r="X4">
        <f>IF(S4=1,C4,"")</f>
      </c>
      <c r="Y4">
        <f>IF(S4=1,E4,"")</f>
      </c>
      <c r="Z4">
        <f>IF($S4=1,H4,"")</f>
      </c>
      <c r="AA4">
        <f>IF($S4=1,J4,"")</f>
      </c>
      <c r="AB4">
        <f>IF($T4=1,H4,"")</f>
      </c>
      <c r="AC4">
        <f>IF($T4=1,J4,"")</f>
      </c>
    </row>
    <row r="5" spans="1:29" ht="12.75">
      <c r="A5" s="40" t="s">
        <v>19</v>
      </c>
      <c r="B5" s="33">
        <f>'Tee Times'!B5</f>
        <v>1316</v>
      </c>
      <c r="C5" s="44" t="str">
        <f>'Tee Times'!C5</f>
        <v>Moray Fleming</v>
      </c>
      <c r="D5" s="51">
        <f>VLOOKUP(C5,'[1]Scoreboard'!$B$2:$G$21,2,FALSE)</f>
        <v>33</v>
      </c>
      <c r="E5" s="44" t="str">
        <f>'Tee Times'!E5</f>
        <v>Ali Barnett</v>
      </c>
      <c r="F5" s="51">
        <f>VLOOKUP(E5,'[1]Scoreboard'!$B$2:$G$21,2,FALSE)</f>
        <v>25</v>
      </c>
      <c r="G5" s="24" t="s">
        <v>14</v>
      </c>
      <c r="H5" s="32" t="str">
        <f>'Tee Times'!H5</f>
        <v>Roger Chapman</v>
      </c>
      <c r="I5" s="54">
        <f>VLOOKUP(H5,'[1]Scoreboard'!$B$2:$G$21,2,FALSE)</f>
        <v>37</v>
      </c>
      <c r="J5" s="32" t="str">
        <f>'Tee Times'!J5</f>
        <v>Scott Saurin</v>
      </c>
      <c r="K5" s="54">
        <f>VLOOKUP(J5,'[1]Scoreboard'!$B$2:$G$21,2,FALSE)</f>
        <v>32</v>
      </c>
      <c r="L5" s="58">
        <f>'[1]Day 1 FBBB Matchplay'!M$49</f>
      </c>
      <c r="M5" s="58">
        <f>'[1]Day 1 FBBB Matchplay'!N$49</f>
      </c>
      <c r="N5" s="59" t="str">
        <f>'[1]Day 1 FBBB Matchplay'!O$49</f>
        <v>3 and 1</v>
      </c>
      <c r="O5" s="4"/>
      <c r="R5">
        <f t="shared" si="0"/>
        <v>0</v>
      </c>
      <c r="S5">
        <f t="shared" si="0"/>
        <v>0</v>
      </c>
      <c r="T5">
        <f t="shared" si="0"/>
        <v>1</v>
      </c>
      <c r="V5">
        <f>IF(R5=1,C5,"")</f>
      </c>
      <c r="W5">
        <f>IF(R5=1,E5,"")</f>
      </c>
      <c r="X5">
        <f>IF(S5=1,C5,"")</f>
      </c>
      <c r="Y5">
        <f>IF(S5=1,E5,"")</f>
      </c>
      <c r="Z5">
        <f>IF($S5=1,H5,"")</f>
      </c>
      <c r="AA5">
        <f>IF($S5=1,J5,"")</f>
      </c>
      <c r="AB5" t="str">
        <f>IF($T5=1,H5,"")</f>
        <v>Roger Chapman</v>
      </c>
      <c r="AC5" t="str">
        <f>IF($T5=1,J5,"")</f>
        <v>Scott Saurin</v>
      </c>
    </row>
    <row r="6" spans="1:29" ht="12.75">
      <c r="A6" s="41" t="s">
        <v>20</v>
      </c>
      <c r="B6" s="29">
        <f>'Tee Times'!B6</f>
        <v>1324</v>
      </c>
      <c r="C6" s="44" t="str">
        <f>'Tee Times'!C6</f>
        <v>Dave Chapman</v>
      </c>
      <c r="D6" s="51">
        <f>VLOOKUP(C6,'[1]Scoreboard'!$B$2:$G$21,2,FALSE)</f>
        <v>36</v>
      </c>
      <c r="E6" s="44" t="str">
        <f>'Tee Times'!E6</f>
        <v>Adam Smith</v>
      </c>
      <c r="F6" s="51">
        <f>VLOOKUP(E6,'[1]Scoreboard'!$B$2:$G$21,2,FALSE)</f>
        <v>32</v>
      </c>
      <c r="G6" s="23" t="s">
        <v>14</v>
      </c>
      <c r="H6" s="32" t="str">
        <f>'Tee Times'!H6</f>
        <v>Tony Chapman</v>
      </c>
      <c r="I6" s="54">
        <f>VLOOKUP(H6,'[1]Scoreboard'!$B$2:$G$21,2,FALSE)</f>
        <v>36</v>
      </c>
      <c r="J6" s="32" t="str">
        <f>'Tee Times'!J6</f>
        <v>Daniel Nash</v>
      </c>
      <c r="K6" s="54">
        <f>VLOOKUP(J6,'[1]Scoreboard'!$B$2:$G$21,2,FALSE)</f>
        <v>28</v>
      </c>
      <c r="L6" s="73">
        <f>'[1]Day 1 FBBB Matchplay'!M$74</f>
      </c>
      <c r="M6" s="73" t="str">
        <f>'[1]Day 1 FBBB Matchplay'!N$74</f>
        <v>HALF</v>
      </c>
      <c r="N6" s="74">
        <f>'[1]Day 1 FBBB Matchplay'!O$74</f>
      </c>
      <c r="O6" s="4"/>
      <c r="R6">
        <f t="shared" si="0"/>
        <v>0</v>
      </c>
      <c r="S6">
        <f t="shared" si="0"/>
        <v>1</v>
      </c>
      <c r="T6">
        <f t="shared" si="0"/>
        <v>0</v>
      </c>
      <c r="V6">
        <f>IF(R6=1,C6,"")</f>
      </c>
      <c r="W6">
        <f>IF(R6=1,E6,"")</f>
      </c>
      <c r="X6" t="str">
        <f>IF(S6=1,C6,"")</f>
        <v>Dave Chapman</v>
      </c>
      <c r="Y6" t="str">
        <f>IF(S6=1,E6,"")</f>
        <v>Adam Smith</v>
      </c>
      <c r="Z6" t="str">
        <f>IF($S6=1,H6,"")</f>
        <v>Tony Chapman</v>
      </c>
      <c r="AA6" t="str">
        <f>IF($S6=1,J6,"")</f>
        <v>Daniel Nash</v>
      </c>
      <c r="AB6">
        <f>IF($T6=1,H6,"")</f>
      </c>
      <c r="AC6">
        <f>IF($T6=1,J6,"")</f>
      </c>
    </row>
    <row r="7" spans="1:29" ht="12.75">
      <c r="A7" s="78" t="s">
        <v>21</v>
      </c>
      <c r="B7" s="33">
        <f>'Tee Times'!B7</f>
        <v>1332</v>
      </c>
      <c r="C7" s="44" t="str">
        <f>'Tee Times'!C7</f>
        <v>Tony Williams</v>
      </c>
      <c r="D7" s="51">
        <f>VLOOKUP(C7,'[1]Scoreboard'!$B$2:$G$21,2,FALSE)</f>
        <v>25</v>
      </c>
      <c r="E7" s="44" t="str">
        <f>'Tee Times'!E7</f>
        <v>Giles Elliott</v>
      </c>
      <c r="F7" s="51">
        <f>VLOOKUP(E7,'[1]Scoreboard'!$B$2:$G$21,2,FALSE)</f>
        <v>28</v>
      </c>
      <c r="G7" s="24" t="s">
        <v>14</v>
      </c>
      <c r="H7" s="32" t="str">
        <f>'Tee Times'!H7</f>
        <v>James Spackman</v>
      </c>
      <c r="I7" s="54">
        <f>VLOOKUP(H7,'[1]Scoreboard'!$B$2:$G$21,2,FALSE)</f>
        <v>31</v>
      </c>
      <c r="J7" s="32" t="str">
        <f>'Tee Times'!J7</f>
        <v>James Douglas</v>
      </c>
      <c r="K7" s="54">
        <f>VLOOKUP(J7,'[1]Scoreboard'!$B$2:$G$21,2,FALSE)</f>
        <v>27</v>
      </c>
      <c r="L7" s="58">
        <f>'[1]Day 1 FBBB Matchplay'!M$99</f>
      </c>
      <c r="M7" s="58" t="str">
        <f>'[1]Day 1 FBBB Matchplay'!N$99</f>
        <v>HALF</v>
      </c>
      <c r="N7" s="59">
        <f>'[1]Day 1 FBBB Matchplay'!O$99</f>
      </c>
      <c r="O7" s="4"/>
      <c r="R7">
        <f t="shared" si="0"/>
        <v>0</v>
      </c>
      <c r="S7">
        <f t="shared" si="0"/>
        <v>1</v>
      </c>
      <c r="T7">
        <f t="shared" si="0"/>
        <v>0</v>
      </c>
      <c r="V7">
        <f>IF(R7=1,C7,"")</f>
      </c>
      <c r="W7">
        <f>IF(R7=1,E7,"")</f>
      </c>
      <c r="X7" t="str">
        <f>IF(S7=1,C7,"")</f>
        <v>Tony Williams</v>
      </c>
      <c r="Y7" t="str">
        <f>IF(S7=1,E7,"")</f>
        <v>Giles Elliott</v>
      </c>
      <c r="Z7" t="str">
        <f>IF($S7=1,H7,"")</f>
        <v>James Spackman</v>
      </c>
      <c r="AA7" t="str">
        <f>IF($S7=1,J7,"")</f>
        <v>James Douglas</v>
      </c>
      <c r="AB7">
        <f>IF($T7=1,H7,"")</f>
      </c>
      <c r="AC7">
        <f>IF($T7=1,J7,"")</f>
      </c>
    </row>
    <row r="8" spans="1:29" ht="13.5" thickBot="1">
      <c r="A8" s="80" t="s">
        <v>47</v>
      </c>
      <c r="B8" s="81">
        <f>'Tee Times'!B8</f>
        <v>1340</v>
      </c>
      <c r="C8" s="42" t="str">
        <f>'Tee Times'!C8</f>
        <v>Luke Gallagher</v>
      </c>
      <c r="D8" s="52">
        <f>VLOOKUP(C8,'[1]Scoreboard'!$B$2:$G$21,2,FALSE)</f>
        <v>32</v>
      </c>
      <c r="E8" s="42" t="str">
        <f>'Tee Times'!E8</f>
        <v>Alex Davies</v>
      </c>
      <c r="F8" s="52">
        <f>VLOOKUP(E8,'[1]Scoreboard'!$B$2:$G$21,2,FALSE)</f>
        <v>32</v>
      </c>
      <c r="G8" s="82" t="s">
        <v>14</v>
      </c>
      <c r="H8" s="20" t="str">
        <f>'Tee Times'!H8</f>
        <v>James Webb</v>
      </c>
      <c r="I8" s="55">
        <f>VLOOKUP(H8,'[1]Scoreboard'!$B$2:$G$21,2,FALSE)</f>
        <v>29</v>
      </c>
      <c r="J8" s="20" t="str">
        <f>'Tee Times'!J8</f>
        <v>Marc Talbot</v>
      </c>
      <c r="K8" s="55">
        <f>VLOOKUP(J8,'[1]Scoreboard'!$B$2:$G$21,2,FALSE)</f>
        <v>34</v>
      </c>
      <c r="L8" s="83">
        <f>'[1]Day 1 FBBB Matchplay'!M$124</f>
      </c>
      <c r="M8" s="83">
        <f>'[1]Day 1 FBBB Matchplay'!N$124</f>
      </c>
      <c r="N8" s="84" t="str">
        <f>'[1]Day 1 FBBB Matchplay'!O$124</f>
        <v>3 and 2</v>
      </c>
      <c r="O8" s="4"/>
      <c r="R8">
        <f t="shared" si="0"/>
        <v>0</v>
      </c>
      <c r="S8">
        <f t="shared" si="0"/>
        <v>0</v>
      </c>
      <c r="T8">
        <f t="shared" si="0"/>
        <v>1</v>
      </c>
      <c r="V8">
        <f>IF(R8=1,C8,"")</f>
      </c>
      <c r="W8">
        <f>IF(R8=1,E8,"")</f>
      </c>
      <c r="X8">
        <f>IF(S8=1,C8,"")</f>
      </c>
      <c r="Y8">
        <f>IF(S8=1,E8,"")</f>
      </c>
      <c r="Z8">
        <f>IF($S8=1,H8,"")</f>
      </c>
      <c r="AA8">
        <f>IF($S8=1,J8,"")</f>
      </c>
      <c r="AB8" t="str">
        <f>IF($T8=1,H8,"")</f>
        <v>James Webb</v>
      </c>
      <c r="AC8" t="str">
        <f>IF($T8=1,J8,"")</f>
        <v>Marc Talbot</v>
      </c>
    </row>
    <row r="10" ht="13.5" thickBot="1">
      <c r="A10" s="10" t="s">
        <v>66</v>
      </c>
    </row>
    <row r="11" spans="1:14" ht="12.75">
      <c r="A11" s="157" t="s">
        <v>17</v>
      </c>
      <c r="B11" s="154" t="s">
        <v>13</v>
      </c>
      <c r="C11" s="156" t="s">
        <v>37</v>
      </c>
      <c r="D11" s="156"/>
      <c r="E11" s="156"/>
      <c r="F11" s="156"/>
      <c r="G11" s="77"/>
      <c r="H11" s="146" t="s">
        <v>15</v>
      </c>
      <c r="I11" s="146"/>
      <c r="J11" s="146"/>
      <c r="K11" s="146"/>
      <c r="L11" s="152" t="s">
        <v>23</v>
      </c>
      <c r="M11" s="152"/>
      <c r="N11" s="153"/>
    </row>
    <row r="12" spans="1:29" ht="13.5" thickBot="1">
      <c r="A12" s="158"/>
      <c r="B12" s="155"/>
      <c r="C12" s="45" t="s">
        <v>9</v>
      </c>
      <c r="D12" s="17" t="s">
        <v>22</v>
      </c>
      <c r="E12" s="45" t="s">
        <v>10</v>
      </c>
      <c r="F12" s="17" t="s">
        <v>22</v>
      </c>
      <c r="G12" s="79"/>
      <c r="H12" s="30" t="s">
        <v>11</v>
      </c>
      <c r="I12" s="90" t="s">
        <v>22</v>
      </c>
      <c r="J12" s="30" t="s">
        <v>12</v>
      </c>
      <c r="K12" s="90" t="s">
        <v>22</v>
      </c>
      <c r="L12" s="46" t="s">
        <v>144</v>
      </c>
      <c r="M12" s="46" t="s">
        <v>24</v>
      </c>
      <c r="N12" s="47" t="s">
        <v>25</v>
      </c>
      <c r="V12" t="s">
        <v>146</v>
      </c>
      <c r="W12" t="s">
        <v>146</v>
      </c>
      <c r="X12" t="s">
        <v>147</v>
      </c>
      <c r="Y12" t="s">
        <v>147</v>
      </c>
      <c r="Z12" t="s">
        <v>147</v>
      </c>
      <c r="AA12" t="s">
        <v>147</v>
      </c>
      <c r="AB12" t="s">
        <v>146</v>
      </c>
      <c r="AC12" t="s">
        <v>146</v>
      </c>
    </row>
    <row r="13" spans="1:29" ht="12.75" customHeight="1">
      <c r="A13" s="39" t="s">
        <v>18</v>
      </c>
      <c r="B13" s="38">
        <f>'Tee Times'!B13</f>
        <v>1130</v>
      </c>
      <c r="C13" s="43" t="str">
        <f>IF('Tee Times'!C14=0,"",'Tee Times'!C14)</f>
        <v>Dave Chapman</v>
      </c>
      <c r="D13" s="50">
        <f>IF(ISERROR(VLOOKUP(C13,'[1]Scoreboard'!$B$2:$G$21,3,FALSE)),"",VLOOKUP(C13,'[1]Scoreboard'!$B$2:$G$21,3,FALSE))</f>
        <v>30</v>
      </c>
      <c r="E13" s="43" t="str">
        <f>IF('Tee Times'!E14=0,"",'Tee Times'!E14)</f>
        <v>Adam Greening</v>
      </c>
      <c r="F13" s="50">
        <f>IF(ISERROR(VLOOKUP(E13,'[1]Scoreboard'!$B$2:$G$21,3,FALSE)),"",VLOOKUP(E13,'[1]Scoreboard'!$B$2:$G$21,3,FALSE))</f>
        <v>29</v>
      </c>
      <c r="G13" s="25" t="s">
        <v>14</v>
      </c>
      <c r="H13" s="31" t="str">
        <f>IF('Tee Times'!H14=0,"",'Tee Times'!H14)</f>
        <v>Marcus Street</v>
      </c>
      <c r="I13" s="53">
        <f>IF(ISERROR(VLOOKUP(H13,'[1]Scoreboard'!$B$2:$G$21,3,FALSE)),"",VLOOKUP(H13,'[1]Scoreboard'!$B$2:$G$21,3,FALSE))</f>
        <v>38</v>
      </c>
      <c r="J13" s="31" t="str">
        <f>IF('Tee Times'!J14=0,"",'Tee Times'!J14)</f>
        <v>Tony Chapman</v>
      </c>
      <c r="K13" s="53">
        <f>IF(ISERROR(VLOOKUP(J13,'[1]Scoreboard'!$B$2:$G$21,3,FALSE)),"",VLOOKUP(J13,'[1]Scoreboard'!$B$2:$G$21,3,FALSE))</f>
        <v>38</v>
      </c>
      <c r="L13" s="56">
        <f>'[1]Day 2 FBBB Matchplay'!M$24</f>
      </c>
      <c r="M13" s="56">
        <f>'[1]Day 2 FBBB Matchplay'!N$24</f>
      </c>
      <c r="N13" s="56" t="str">
        <f>'[1]Day 2 FBBB Matchplay'!O$24</f>
        <v>6 and 4</v>
      </c>
      <c r="R13">
        <f aca="true" t="shared" si="1" ref="R13:T17">IF(COUNTA(L13)&gt;0,1,0)-COUNTIF(L13,"")</f>
        <v>0</v>
      </c>
      <c r="S13">
        <f t="shared" si="1"/>
        <v>0</v>
      </c>
      <c r="T13">
        <f t="shared" si="1"/>
        <v>1</v>
      </c>
      <c r="V13">
        <f>IF(R13=1,C13,"")</f>
      </c>
      <c r="W13">
        <f>IF(R13=1,E13,"")</f>
      </c>
      <c r="X13">
        <f>IF(S13=1,C13,"")</f>
      </c>
      <c r="Y13">
        <f>IF(S13=1,E13,"")</f>
      </c>
      <c r="Z13">
        <f>IF($S13=1,H13,"")</f>
      </c>
      <c r="AA13">
        <f>IF($S13=1,J13,"")</f>
      </c>
      <c r="AB13" t="str">
        <f>IF($T13=1,H13,"")</f>
        <v>Marcus Street</v>
      </c>
      <c r="AC13" t="str">
        <f>IF($T13=1,J13,"")</f>
        <v>Tony Chapman</v>
      </c>
    </row>
    <row r="14" spans="1:29" ht="12.75">
      <c r="A14" s="40" t="s">
        <v>19</v>
      </c>
      <c r="B14" s="33">
        <f>'Tee Times'!B14</f>
        <v>1138</v>
      </c>
      <c r="C14" s="44" t="str">
        <f>IF('Tee Times'!C15=0,"",'Tee Times'!C15)</f>
        <v>Alex Davies</v>
      </c>
      <c r="D14" s="51">
        <f>IF(ISERROR(VLOOKUP(C14,'[1]Scoreboard'!$B$2:$G$21,3,FALSE)),"",VLOOKUP(C14,'[1]Scoreboard'!$B$2:$G$21,3,FALSE))</f>
        <v>29</v>
      </c>
      <c r="E14" s="44" t="str">
        <f>IF('Tee Times'!E15=0,"",'Tee Times'!E15)</f>
        <v>Giles Elliott</v>
      </c>
      <c r="F14" s="51">
        <f>IF(ISERROR(VLOOKUP(E14,'[1]Scoreboard'!$B$2:$G$21,3,FALSE)),"",VLOOKUP(E14,'[1]Scoreboard'!$B$2:$G$21,3,FALSE))</f>
        <v>33</v>
      </c>
      <c r="G14" s="24" t="s">
        <v>14</v>
      </c>
      <c r="H14" s="32" t="str">
        <f>IF('Tee Times'!H15=0,"",'Tee Times'!H15)</f>
        <v>Marc Talbot</v>
      </c>
      <c r="I14" s="54">
        <f>IF(ISERROR(VLOOKUP(H14,'[1]Scoreboard'!$B$2:$G$21,3,FALSE)),"",VLOOKUP(H14,'[1]Scoreboard'!$B$2:$G$21,3,FALSE))</f>
        <v>26</v>
      </c>
      <c r="J14" s="32" t="str">
        <f>IF('Tee Times'!J15=0,"",'Tee Times'!J15)</f>
        <v>Scott Saurin</v>
      </c>
      <c r="K14" s="54">
        <f>IF(ISERROR(VLOOKUP(J14,'[1]Scoreboard'!$B$2:$G$21,3,FALSE)),"",VLOOKUP(J14,'[1]Scoreboard'!$B$2:$G$21,3,FALSE))</f>
        <v>41</v>
      </c>
      <c r="L14" s="58">
        <f>'[1]Day 2 FBBB Matchplay'!M$49</f>
      </c>
      <c r="M14" s="58">
        <f>'[1]Day 2 FBBB Matchplay'!N$49</f>
      </c>
      <c r="N14" s="58" t="str">
        <f>'[1]Day 2 FBBB Matchplay'!O$49</f>
        <v>4 and 3</v>
      </c>
      <c r="R14">
        <f t="shared" si="1"/>
        <v>0</v>
      </c>
      <c r="S14">
        <f t="shared" si="1"/>
        <v>0</v>
      </c>
      <c r="T14">
        <f t="shared" si="1"/>
        <v>1</v>
      </c>
      <c r="V14">
        <f>IF(R14=1,C14,"")</f>
      </c>
      <c r="W14">
        <f>IF(R14=1,E14,"")</f>
      </c>
      <c r="X14">
        <f>IF(S14=1,C14,"")</f>
      </c>
      <c r="Y14">
        <f>IF(S14=1,E14,"")</f>
      </c>
      <c r="Z14">
        <f>IF($S14=1,H14,"")</f>
      </c>
      <c r="AA14">
        <f>IF($S14=1,J14,"")</f>
      </c>
      <c r="AB14" t="str">
        <f>IF($T14=1,H14,"")</f>
        <v>Marc Talbot</v>
      </c>
      <c r="AC14" t="str">
        <f>IF($T14=1,J14,"")</f>
        <v>Scott Saurin</v>
      </c>
    </row>
    <row r="15" spans="1:29" ht="12.75">
      <c r="A15" s="41" t="s">
        <v>20</v>
      </c>
      <c r="B15" s="29">
        <f>'Tee Times'!B15</f>
        <v>1146</v>
      </c>
      <c r="C15" s="44" t="str">
        <f>IF('Tee Times'!C13=0,"",'Tee Times'!C13)</f>
        <v>Moray Fleming</v>
      </c>
      <c r="D15" s="51">
        <f>IF(ISERROR(VLOOKUP(C15,'[1]Scoreboard'!$B$2:$G$21,3,FALSE)),"",VLOOKUP(C15,'[1]Scoreboard'!$B$2:$G$21,3,FALSE))</f>
        <v>37</v>
      </c>
      <c r="E15" s="44" t="str">
        <f>IF('Tee Times'!E13=0,"",'Tee Times'!E13)</f>
        <v>Luke Gallagher</v>
      </c>
      <c r="F15" s="51">
        <f>IF(ISERROR(VLOOKUP(E15,'[1]Scoreboard'!$B$2:$G$21,3,FALSE)),"",VLOOKUP(E15,'[1]Scoreboard'!$B$2:$G$21,3,FALSE))</f>
        <v>36</v>
      </c>
      <c r="G15" s="23" t="s">
        <v>14</v>
      </c>
      <c r="H15" s="32" t="str">
        <f>IF('Tee Times'!H13=0,"",'Tee Times'!H13)</f>
        <v>Adam Douglas</v>
      </c>
      <c r="I15" s="54">
        <f>IF(ISERROR(VLOOKUP(H15,'[1]Scoreboard'!$B$2:$G$21,3,FALSE)),"",VLOOKUP(H15,'[1]Scoreboard'!$B$2:$G$21,3,FALSE))</f>
        <v>32</v>
      </c>
      <c r="J15" s="32" t="str">
        <f>IF('Tee Times'!J13=0,"",'Tee Times'!J13)</f>
        <v>Daniel Nash</v>
      </c>
      <c r="K15" s="54">
        <f>IF(ISERROR(VLOOKUP(J15,'[1]Scoreboard'!$B$2:$G$21,3,FALSE)),"",VLOOKUP(J15,'[1]Scoreboard'!$B$2:$G$21,3,FALSE))</f>
        <v>34</v>
      </c>
      <c r="L15" s="73" t="str">
        <f>'[1]Day 2 FBBB Matchplay'!M$74</f>
        <v>3 and 2</v>
      </c>
      <c r="M15" s="73">
        <f>'[1]Day 2 FBBB Matchplay'!N$74</f>
      </c>
      <c r="N15" s="73">
        <f>'[1]Day 2 FBBB Matchplay'!O$74</f>
      </c>
      <c r="O15"/>
      <c r="R15">
        <f t="shared" si="1"/>
        <v>1</v>
      </c>
      <c r="S15">
        <f t="shared" si="1"/>
        <v>0</v>
      </c>
      <c r="T15">
        <f t="shared" si="1"/>
        <v>0</v>
      </c>
      <c r="V15" t="str">
        <f>IF(R15=1,C15,"")</f>
        <v>Moray Fleming</v>
      </c>
      <c r="W15" t="str">
        <f>IF(R15=1,E15,"")</f>
        <v>Luke Gallagher</v>
      </c>
      <c r="X15">
        <f>IF(S15=1,C15,"")</f>
      </c>
      <c r="Y15">
        <f>IF(S15=1,E15,"")</f>
      </c>
      <c r="Z15">
        <f>IF($S15=1,H15,"")</f>
      </c>
      <c r="AA15">
        <f>IF($S15=1,J15,"")</f>
      </c>
      <c r="AB15">
        <f>IF($T15=1,H15,"")</f>
      </c>
      <c r="AC15">
        <f>IF($T15=1,J15,"")</f>
      </c>
    </row>
    <row r="16" spans="1:29" ht="12.75">
      <c r="A16" s="78" t="s">
        <v>21</v>
      </c>
      <c r="B16" s="33">
        <f>'Tee Times'!B16</f>
        <v>1154</v>
      </c>
      <c r="C16" s="44" t="str">
        <f>IF('Tee Times'!C16=0,"",'Tee Times'!C16)</f>
        <v>Basil Davies</v>
      </c>
      <c r="D16" s="51">
        <f>IF(ISERROR(VLOOKUP(C16,'[1]Scoreboard'!$B$2:$G$21,3,FALSE)),"",VLOOKUP(C16,'[1]Scoreboard'!$B$2:$G$21,3,FALSE))</f>
        <v>35</v>
      </c>
      <c r="E16" s="44" t="str">
        <f>IF('Tee Times'!E16=0,"",'Tee Times'!E16)</f>
        <v>Tony Williams</v>
      </c>
      <c r="F16" s="51">
        <f>IF(ISERROR(VLOOKUP(E16,'[1]Scoreboard'!$B$2:$G$21,3,FALSE)),"",VLOOKUP(E16,'[1]Scoreboard'!$B$2:$G$21,3,FALSE))</f>
        <v>31</v>
      </c>
      <c r="G16" s="24" t="s">
        <v>14</v>
      </c>
      <c r="H16" s="32" t="str">
        <f>IF('Tee Times'!H16=0,"",'Tee Times'!H16)</f>
        <v>James Douglas</v>
      </c>
      <c r="I16" s="54">
        <f>IF(ISERROR(VLOOKUP(H16,'[1]Scoreboard'!$B$2:$G$21,3,FALSE)),"",VLOOKUP(H16,'[1]Scoreboard'!$B$2:$G$21,3,FALSE))</f>
        <v>34</v>
      </c>
      <c r="J16" s="32" t="str">
        <f>IF('Tee Times'!J16=0,"",'Tee Times'!J16)</f>
        <v>Roger Chapman</v>
      </c>
      <c r="K16" s="54">
        <f>IF(ISERROR(VLOOKUP(J16,'[1]Scoreboard'!$B$2:$G$21,3,FALSE)),"",VLOOKUP(J16,'[1]Scoreboard'!$B$2:$G$21,3,FALSE))</f>
        <v>32</v>
      </c>
      <c r="L16" s="58">
        <f>'[1]Day 2 FBBB Matchplay'!M$99</f>
      </c>
      <c r="M16" s="58" t="str">
        <f>'[1]Day 2 FBBB Matchplay'!N$99</f>
        <v>HALF</v>
      </c>
      <c r="N16" s="58">
        <f>'[1]Day 2 FBBB Matchplay'!O$99</f>
      </c>
      <c r="O16"/>
      <c r="R16">
        <f t="shared" si="1"/>
        <v>0</v>
      </c>
      <c r="S16">
        <f t="shared" si="1"/>
        <v>1</v>
      </c>
      <c r="T16">
        <f t="shared" si="1"/>
        <v>0</v>
      </c>
      <c r="V16">
        <f>IF(R16=1,C16,"")</f>
      </c>
      <c r="W16">
        <f>IF(R16=1,E16,"")</f>
      </c>
      <c r="X16" t="str">
        <f>IF(S16=1,C16,"")</f>
        <v>Basil Davies</v>
      </c>
      <c r="Y16" t="str">
        <f>IF(S16=1,E16,"")</f>
        <v>Tony Williams</v>
      </c>
      <c r="Z16" t="str">
        <f>IF($S16=1,H16,"")</f>
        <v>James Douglas</v>
      </c>
      <c r="AA16" t="str">
        <f>IF($S16=1,J16,"")</f>
        <v>Roger Chapman</v>
      </c>
      <c r="AB16">
        <f>IF($T16=1,H16,"")</f>
      </c>
      <c r="AC16">
        <f>IF($T16=1,J16,"")</f>
      </c>
    </row>
    <row r="17" spans="1:29" ht="17.25" customHeight="1" thickBot="1">
      <c r="A17" s="80" t="s">
        <v>47</v>
      </c>
      <c r="B17" s="81">
        <f>'Tee Times'!B17</f>
        <v>1202</v>
      </c>
      <c r="C17" s="42" t="str">
        <f>IF('Tee Times'!C17=0,"",'Tee Times'!C17)</f>
        <v>Ali Barnett</v>
      </c>
      <c r="D17" s="52">
        <f>IF(ISERROR(VLOOKUP(C17,'[1]Scoreboard'!$B$2:$G$21,3,FALSE)),"",VLOOKUP(C17,'[1]Scoreboard'!$B$2:$G$21,3,FALSE))</f>
        <v>29</v>
      </c>
      <c r="E17" s="42" t="str">
        <f>IF('Tee Times'!E17=0,"",'Tee Times'!E17)</f>
        <v>Adam Smith</v>
      </c>
      <c r="F17" s="52">
        <f>IF(ISERROR(VLOOKUP(E17,'[1]Scoreboard'!$B$2:$G$21,3,FALSE)),"",VLOOKUP(E17,'[1]Scoreboard'!$B$2:$G$21,3,FALSE))</f>
        <v>25</v>
      </c>
      <c r="G17" s="82" t="s">
        <v>14</v>
      </c>
      <c r="H17" s="20" t="str">
        <f>IF('Tee Times'!H17=0,"",'Tee Times'!H17)</f>
        <v>James Spackman</v>
      </c>
      <c r="I17" s="55">
        <f>IF(ISERROR(VLOOKUP(H17,'[1]Scoreboard'!$B$2:$G$21,3,FALSE)),"",VLOOKUP(H17,'[1]Scoreboard'!$B$2:$G$21,3,FALSE))</f>
        <v>25</v>
      </c>
      <c r="J17" s="20" t="str">
        <f>IF('Tee Times'!J17=0,"",'Tee Times'!J17)</f>
        <v>James Webb</v>
      </c>
      <c r="K17" s="55">
        <f>IF(ISERROR(VLOOKUP(J17,'[1]Scoreboard'!$B$2:$G$21,3,FALSE)),"",VLOOKUP(J17,'[1]Scoreboard'!$B$2:$G$21,3,FALSE))</f>
        <v>31</v>
      </c>
      <c r="L17" s="83">
        <f>'[1]Day 2 FBBB Matchplay'!M$124</f>
      </c>
      <c r="M17" s="83">
        <f>'[1]Day 2 FBBB Matchplay'!N$124</f>
      </c>
      <c r="N17" s="83" t="str">
        <f>'[1]Day 2 FBBB Matchplay'!O$124</f>
        <v>5 and 4</v>
      </c>
      <c r="O17"/>
      <c r="R17">
        <f t="shared" si="1"/>
        <v>0</v>
      </c>
      <c r="S17">
        <f t="shared" si="1"/>
        <v>0</v>
      </c>
      <c r="T17">
        <f t="shared" si="1"/>
        <v>1</v>
      </c>
      <c r="V17">
        <f>IF(R17=1,C17,"")</f>
      </c>
      <c r="W17">
        <f>IF(R17=1,E17,"")</f>
      </c>
      <c r="X17">
        <f>IF(S17=1,C17,"")</f>
      </c>
      <c r="Y17">
        <f>IF(S17=1,E17,"")</f>
      </c>
      <c r="Z17">
        <f>IF($S17=1,H17,"")</f>
      </c>
      <c r="AA17">
        <f>IF($S17=1,J17,"")</f>
      </c>
      <c r="AB17" t="str">
        <f>IF($T17=1,H17,"")</f>
        <v>James Spackman</v>
      </c>
      <c r="AC17" t="str">
        <f>IF($T17=1,J17,"")</f>
        <v>James Webb</v>
      </c>
    </row>
    <row r="18" spans="1:15" s="37" customFormat="1" ht="12.75">
      <c r="A18" s="34"/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ht="13.5" thickBot="1">
      <c r="A19" s="10" t="s">
        <v>154</v>
      </c>
    </row>
    <row r="20" spans="1:15" ht="12.75">
      <c r="A20" s="157" t="s">
        <v>17</v>
      </c>
      <c r="B20" s="154" t="s">
        <v>13</v>
      </c>
      <c r="C20" s="156" t="s">
        <v>37</v>
      </c>
      <c r="D20" s="156"/>
      <c r="E20" s="156"/>
      <c r="F20" s="156"/>
      <c r="G20" s="77"/>
      <c r="H20" s="146" t="s">
        <v>15</v>
      </c>
      <c r="I20" s="146"/>
      <c r="J20" s="146"/>
      <c r="K20" s="146"/>
      <c r="L20" s="152" t="s">
        <v>23</v>
      </c>
      <c r="M20" s="152"/>
      <c r="N20" s="153"/>
      <c r="O20" s="13"/>
    </row>
    <row r="21" spans="1:29" ht="13.5" thickBot="1">
      <c r="A21" s="158"/>
      <c r="B21" s="155"/>
      <c r="C21" s="45" t="s">
        <v>9</v>
      </c>
      <c r="D21" s="17" t="s">
        <v>22</v>
      </c>
      <c r="E21" s="45" t="s">
        <v>10</v>
      </c>
      <c r="F21" s="17" t="s">
        <v>22</v>
      </c>
      <c r="G21" s="79"/>
      <c r="H21" s="30" t="s">
        <v>11</v>
      </c>
      <c r="I21" s="90" t="s">
        <v>22</v>
      </c>
      <c r="J21" s="30" t="s">
        <v>12</v>
      </c>
      <c r="K21" s="90" t="s">
        <v>22</v>
      </c>
      <c r="L21" s="46" t="s">
        <v>144</v>
      </c>
      <c r="M21" s="46" t="s">
        <v>24</v>
      </c>
      <c r="N21" s="47" t="s">
        <v>25</v>
      </c>
      <c r="O21" s="13"/>
      <c r="V21" t="s">
        <v>146</v>
      </c>
      <c r="W21" t="s">
        <v>146</v>
      </c>
      <c r="X21" t="s">
        <v>147</v>
      </c>
      <c r="Y21" t="s">
        <v>147</v>
      </c>
      <c r="Z21" t="s">
        <v>147</v>
      </c>
      <c r="AA21" t="s">
        <v>147</v>
      </c>
      <c r="AB21" t="s">
        <v>146</v>
      </c>
      <c r="AC21" t="s">
        <v>146</v>
      </c>
    </row>
    <row r="22" spans="1:29" ht="12.75">
      <c r="A22" s="39" t="s">
        <v>18</v>
      </c>
      <c r="B22" s="38">
        <f>'Tee Times'!B22</f>
        <v>1230</v>
      </c>
      <c r="C22" s="43" t="str">
        <f>IF('Tee Times'!C22=0,"",'Tee Times'!C22)</f>
        <v>Luke Gallagher</v>
      </c>
      <c r="D22" s="50">
        <f>IF(ISERROR(VLOOKUP(C22,'[1]Scoreboard'!$B$2:$G$21,4,FALSE)),"",VLOOKUP(C22,'[1]Scoreboard'!$B$2:$G$21,4,FALSE))</f>
        <v>31</v>
      </c>
      <c r="E22" s="43" t="str">
        <f>IF('Tee Times'!E22=0,"",'Tee Times'!E22)</f>
        <v>Adam Greening</v>
      </c>
      <c r="F22" s="50">
        <f>IF(ISERROR(VLOOKUP(E22,'[1]Scoreboard'!$B$2:$G$21,4,FALSE)),"",VLOOKUP(E22,'[1]Scoreboard'!$B$2:$G$21,4,FALSE))</f>
        <v>28</v>
      </c>
      <c r="G22" s="25" t="s">
        <v>14</v>
      </c>
      <c r="H22" s="31" t="str">
        <f>IF('Tee Times'!H22=0,"",'Tee Times'!H22)</f>
        <v>James Webb</v>
      </c>
      <c r="I22" s="53">
        <f>IF(ISERROR(VLOOKUP(H22,'[1]Scoreboard'!$B$2:$G$21,4,FALSE)),"",VLOOKUP(H22,'[1]Scoreboard'!$B$2:$G$21,4,FALSE))</f>
        <v>33</v>
      </c>
      <c r="J22" s="31" t="str">
        <f>IF('Tee Times'!J22=0,"",'Tee Times'!J22)</f>
        <v>Scott Saurin</v>
      </c>
      <c r="K22" s="53">
        <f>IF(ISERROR(VLOOKUP(J22,'[1]Scoreboard'!$B$2:$G$21,4,FALSE)),"",VLOOKUP(J22,'[1]Scoreboard'!$B$2:$G$21,4,FALSE))</f>
        <v>27</v>
      </c>
      <c r="L22" s="56" t="str">
        <f>'[1]Day 3 Combined Matchplay'!M$24</f>
        <v>2 up</v>
      </c>
      <c r="M22" s="56">
        <f>'[1]Day 3 Combined Matchplay'!N$24</f>
      </c>
      <c r="N22" s="56">
        <f>'[1]Day 3 Combined Matchplay'!O$24</f>
      </c>
      <c r="O22" s="13"/>
      <c r="R22">
        <f aca="true" t="shared" si="2" ref="R22:T26">IF(COUNTA(L22)&gt;0,1,0)-COUNTIF(L22,"")</f>
        <v>1</v>
      </c>
      <c r="S22">
        <f t="shared" si="2"/>
        <v>0</v>
      </c>
      <c r="T22">
        <f t="shared" si="2"/>
        <v>0</v>
      </c>
      <c r="V22" t="str">
        <f>IF(R22=1,C22,"")</f>
        <v>Luke Gallagher</v>
      </c>
      <c r="W22" t="str">
        <f>IF(R22=1,E22,"")</f>
        <v>Adam Greening</v>
      </c>
      <c r="X22">
        <f>IF(S22=1,C22,"")</f>
      </c>
      <c r="Y22">
        <f>IF(S22=1,E22,"")</f>
      </c>
      <c r="Z22">
        <f>IF($S22=1,H22,"")</f>
      </c>
      <c r="AA22">
        <f>IF($S22=1,J22,"")</f>
      </c>
      <c r="AB22">
        <f>IF($T22=1,H22,"")</f>
      </c>
      <c r="AC22">
        <f>IF($T22=1,J22,"")</f>
      </c>
    </row>
    <row r="23" spans="1:29" ht="12.75">
      <c r="A23" s="40" t="s">
        <v>19</v>
      </c>
      <c r="B23" s="33">
        <f>'Tee Times'!B23</f>
        <v>1238</v>
      </c>
      <c r="C23" s="44" t="str">
        <f>IF('Tee Times'!C23=0,"",'Tee Times'!C23)</f>
        <v>Giles Elliott</v>
      </c>
      <c r="D23" s="51">
        <f>IF(ISERROR(VLOOKUP(C23,'[1]Scoreboard'!$B$2:$G$21,4,FALSE)),"",VLOOKUP(C23,'[1]Scoreboard'!$B$2:$G$21,4,FALSE))</f>
        <v>28</v>
      </c>
      <c r="E23" s="44" t="str">
        <f>IF('Tee Times'!E23=0,"",'Tee Times'!E23)</f>
        <v>Moray Fleming</v>
      </c>
      <c r="F23" s="51">
        <f>IF(ISERROR(VLOOKUP(E23,'[1]Scoreboard'!$B$2:$G$21,4,FALSE)),"",VLOOKUP(E23,'[1]Scoreboard'!$B$2:$G$21,4,FALSE))</f>
        <v>31</v>
      </c>
      <c r="G23" s="24" t="s">
        <v>14</v>
      </c>
      <c r="H23" s="32" t="str">
        <f>IF('Tee Times'!H23=0,"",'Tee Times'!H23)</f>
        <v>Marc Talbot</v>
      </c>
      <c r="I23" s="54">
        <f>IF(ISERROR(VLOOKUP(H23,'[1]Scoreboard'!$B$2:$G$21,4,FALSE)),"",VLOOKUP(H23,'[1]Scoreboard'!$B$2:$G$21,4,FALSE))</f>
        <v>34</v>
      </c>
      <c r="J23" s="32" t="str">
        <f>IF('Tee Times'!J23=0,"",'Tee Times'!J23)</f>
        <v>Marcus Street</v>
      </c>
      <c r="K23" s="54">
        <f>IF(ISERROR(VLOOKUP(J23,'[1]Scoreboard'!$B$2:$G$21,4,FALSE)),"",VLOOKUP(J23,'[1]Scoreboard'!$B$2:$G$21,4,FALSE))</f>
        <v>25</v>
      </c>
      <c r="L23" s="58" t="str">
        <f>'[1]Day 3 Combined Matchplay'!M$49</f>
        <v>4 and 3</v>
      </c>
      <c r="M23" s="58">
        <f>'[1]Day 3 Combined Matchplay'!N$49</f>
      </c>
      <c r="N23" s="58">
        <f>'[1]Day 3 Combined Matchplay'!O$49</f>
      </c>
      <c r="O23" s="13"/>
      <c r="R23">
        <f t="shared" si="2"/>
        <v>1</v>
      </c>
      <c r="S23">
        <f t="shared" si="2"/>
        <v>0</v>
      </c>
      <c r="T23">
        <f t="shared" si="2"/>
        <v>0</v>
      </c>
      <c r="V23" t="str">
        <f>IF(R23=1,C23,"")</f>
        <v>Giles Elliott</v>
      </c>
      <c r="W23" t="str">
        <f>IF(R23=1,E23,"")</f>
        <v>Moray Fleming</v>
      </c>
      <c r="X23">
        <f>IF(S23=1,C23,"")</f>
      </c>
      <c r="Y23">
        <f>IF(S23=1,E23,"")</f>
      </c>
      <c r="Z23">
        <f>IF($S23=1,H23,"")</f>
      </c>
      <c r="AA23">
        <f>IF($S23=1,J23,"")</f>
      </c>
      <c r="AB23">
        <f>IF($T23=1,H23,"")</f>
      </c>
      <c r="AC23">
        <f>IF($T23=1,J23,"")</f>
      </c>
    </row>
    <row r="24" spans="1:29" ht="12.75">
      <c r="A24" s="41" t="s">
        <v>20</v>
      </c>
      <c r="B24" s="29">
        <f>'Tee Times'!B24</f>
        <v>1246</v>
      </c>
      <c r="C24" s="44" t="str">
        <f>IF('Tee Times'!C24=0,"",'Tee Times'!C24)</f>
        <v>Tony Williams</v>
      </c>
      <c r="D24" s="51">
        <f>IF(ISERROR(VLOOKUP(C24,'[1]Scoreboard'!$B$2:$G$21,4,FALSE)),"",VLOOKUP(C24,'[1]Scoreboard'!$B$2:$G$21,4,FALSE))</f>
        <v>30</v>
      </c>
      <c r="E24" s="44" t="str">
        <f>IF('Tee Times'!E24=0,"",'Tee Times'!E24)</f>
        <v>Dave Chapman</v>
      </c>
      <c r="F24" s="51">
        <f>IF(ISERROR(VLOOKUP(E24,'[1]Scoreboard'!$B$2:$G$21,4,FALSE)),"",VLOOKUP(E24,'[1]Scoreboard'!$B$2:$G$21,4,FALSE))</f>
        <v>35</v>
      </c>
      <c r="G24" s="23" t="s">
        <v>14</v>
      </c>
      <c r="H24" s="32" t="str">
        <f>IF('Tee Times'!H24=0,"",'Tee Times'!H24)</f>
        <v>James Spackman</v>
      </c>
      <c r="I24" s="54">
        <f>IF(ISERROR(VLOOKUP(H24,'[1]Scoreboard'!$B$2:$G$21,4,FALSE)),"",VLOOKUP(H24,'[1]Scoreboard'!$B$2:$G$21,4,FALSE))</f>
        <v>30</v>
      </c>
      <c r="J24" s="32" t="str">
        <f>IF('Tee Times'!J24=0,"",'Tee Times'!J24)</f>
        <v>Roger Chapman</v>
      </c>
      <c r="K24" s="54">
        <f>IF(ISERROR(VLOOKUP(J24,'[1]Scoreboard'!$B$2:$G$21,4,FALSE)),"",VLOOKUP(J24,'[1]Scoreboard'!$B$2:$G$21,4,FALSE))</f>
        <v>31</v>
      </c>
      <c r="L24" s="73" t="str">
        <f>'[1]Day 3 Combined Matchplay'!M$74</f>
        <v>3 and 1</v>
      </c>
      <c r="M24" s="73">
        <f>'[1]Day 3 Combined Matchplay'!N$74</f>
      </c>
      <c r="N24" s="73">
        <f>'[1]Day 3 Combined Matchplay'!O$74</f>
      </c>
      <c r="R24">
        <f t="shared" si="2"/>
        <v>1</v>
      </c>
      <c r="S24">
        <f t="shared" si="2"/>
        <v>0</v>
      </c>
      <c r="T24">
        <f t="shared" si="2"/>
        <v>0</v>
      </c>
      <c r="V24" t="str">
        <f>IF(R24=1,C24,"")</f>
        <v>Tony Williams</v>
      </c>
      <c r="W24" t="str">
        <f>IF(R24=1,E24,"")</f>
        <v>Dave Chapman</v>
      </c>
      <c r="X24">
        <f>IF(S24=1,C24,"")</f>
      </c>
      <c r="Y24">
        <f>IF(S24=1,E24,"")</f>
      </c>
      <c r="Z24">
        <f>IF($S24=1,H24,"")</f>
      </c>
      <c r="AA24">
        <f>IF($S24=1,J24,"")</f>
      </c>
      <c r="AB24">
        <f>IF($T24=1,H24,"")</f>
      </c>
      <c r="AC24">
        <f>IF($T24=1,J24,"")</f>
      </c>
    </row>
    <row r="25" spans="1:29" ht="12.75">
      <c r="A25" s="78" t="s">
        <v>21</v>
      </c>
      <c r="B25" s="33">
        <f>'Tee Times'!B25</f>
        <v>1254</v>
      </c>
      <c r="C25" s="44" t="str">
        <f>IF('Tee Times'!C25=0,"",'Tee Times'!C25)</f>
        <v>Adam Smith</v>
      </c>
      <c r="D25" s="51">
        <f>IF(ISERROR(VLOOKUP(C25,'[1]Scoreboard'!$B$2:$G$21,4,FALSE)),"",VLOOKUP(C25,'[1]Scoreboard'!$B$2:$G$21,4,FALSE))</f>
        <v>30</v>
      </c>
      <c r="E25" s="44" t="str">
        <f>IF('Tee Times'!E25=0,"",'Tee Times'!E25)</f>
        <v>Alex Davies</v>
      </c>
      <c r="F25" s="51">
        <f>IF(ISERROR(VLOOKUP(E25,'[1]Scoreboard'!$B$2:$G$21,4,FALSE)),"",VLOOKUP(E25,'[1]Scoreboard'!$B$2:$G$21,4,FALSE))</f>
        <v>35</v>
      </c>
      <c r="G25" s="24" t="s">
        <v>14</v>
      </c>
      <c r="H25" s="32" t="str">
        <f>IF('Tee Times'!H25=0,"",'Tee Times'!H25)</f>
        <v>Adam Douglas</v>
      </c>
      <c r="I25" s="54">
        <f>IF(ISERROR(VLOOKUP(H25,'[1]Scoreboard'!$B$2:$G$21,4,FALSE)),"",VLOOKUP(H25,'[1]Scoreboard'!$B$2:$G$21,4,FALSE))</f>
        <v>23</v>
      </c>
      <c r="J25" s="32" t="str">
        <f>IF('Tee Times'!J25=0,"",'Tee Times'!J25)</f>
        <v>Tony Chapman</v>
      </c>
      <c r="K25" s="54">
        <f>IF(ISERROR(VLOOKUP(J25,'[1]Scoreboard'!$B$2:$G$21,4,FALSE)),"",VLOOKUP(J25,'[1]Scoreboard'!$B$2:$G$21,4,FALSE))</f>
        <v>40</v>
      </c>
      <c r="L25" s="58" t="str">
        <f>'[1]Day 3 Combined Matchplay'!M$99</f>
        <v>2 up</v>
      </c>
      <c r="M25" s="58">
        <f>'[1]Day 3 Combined Matchplay'!N$99</f>
      </c>
      <c r="N25" s="58">
        <f>'[1]Day 3 Combined Matchplay'!O$99</f>
      </c>
      <c r="R25">
        <f t="shared" si="2"/>
        <v>1</v>
      </c>
      <c r="S25">
        <f t="shared" si="2"/>
        <v>0</v>
      </c>
      <c r="T25">
        <f t="shared" si="2"/>
        <v>0</v>
      </c>
      <c r="V25" t="str">
        <f>IF(R25=1,C25,"")</f>
        <v>Adam Smith</v>
      </c>
      <c r="W25" t="str">
        <f>IF(R25=1,E25,"")</f>
        <v>Alex Davies</v>
      </c>
      <c r="X25">
        <f>IF(S25=1,C25,"")</f>
      </c>
      <c r="Y25">
        <f>IF(S25=1,E25,"")</f>
      </c>
      <c r="Z25">
        <f>IF($S25=1,H25,"")</f>
      </c>
      <c r="AA25">
        <f>IF($S25=1,J25,"")</f>
      </c>
      <c r="AB25">
        <f>IF($T25=1,H25,"")</f>
      </c>
      <c r="AC25">
        <f>IF($T25=1,J25,"")</f>
      </c>
    </row>
    <row r="26" spans="1:29" ht="13.5" thickBot="1">
      <c r="A26" s="80" t="s">
        <v>47</v>
      </c>
      <c r="B26" s="81">
        <f>'Tee Times'!B26</f>
        <v>1302</v>
      </c>
      <c r="C26" s="42" t="str">
        <f>IF('Tee Times'!C26=0,"",'Tee Times'!C26)</f>
        <v>Basil Davies</v>
      </c>
      <c r="D26" s="52">
        <f>IF(ISERROR(VLOOKUP(C26,'[1]Scoreboard'!$B$2:$G$21,4,FALSE)),"",VLOOKUP(C26,'[1]Scoreboard'!$B$2:$G$21,4,FALSE))</f>
        <v>35</v>
      </c>
      <c r="E26" s="42" t="str">
        <f>IF('Tee Times'!E26=0,"",'Tee Times'!E26)</f>
        <v>Ali Barnett</v>
      </c>
      <c r="F26" s="52">
        <f>IF(ISERROR(VLOOKUP(E26,'[1]Scoreboard'!$B$2:$G$21,4,FALSE)),"",VLOOKUP(E26,'[1]Scoreboard'!$B$2:$G$21,4,FALSE))</f>
        <v>24</v>
      </c>
      <c r="G26" s="82" t="s">
        <v>14</v>
      </c>
      <c r="H26" s="20" t="str">
        <f>IF('Tee Times'!H26=0,"",'Tee Times'!H26)</f>
        <v>James Douglas</v>
      </c>
      <c r="I26" s="55">
        <f>IF(ISERROR(VLOOKUP(H26,'[1]Scoreboard'!$B$2:$G$21,4,FALSE)),"",VLOOKUP(H26,'[1]Scoreboard'!$B$2:$G$21,4,FALSE))</f>
        <v>32</v>
      </c>
      <c r="J26" s="20" t="str">
        <f>IF('Tee Times'!J26=0,"",'Tee Times'!J26)</f>
        <v>Daniel Nash</v>
      </c>
      <c r="K26" s="55">
        <f>IF(ISERROR(VLOOKUP(J26,'[1]Scoreboard'!$B$2:$G$21,4,FALSE)),"",VLOOKUP(J26,'[1]Scoreboard'!$B$2:$G$21,4,FALSE))</f>
        <v>32</v>
      </c>
      <c r="L26" s="83">
        <f>'[1]Day 3 Combined Matchplay'!M$124</f>
      </c>
      <c r="M26" s="83">
        <f>'[1]Day 3 Combined Matchplay'!N$124</f>
      </c>
      <c r="N26" s="83" t="str">
        <f>'[1]Day 3 Combined Matchplay'!O$124</f>
        <v>2 and 1</v>
      </c>
      <c r="R26">
        <f t="shared" si="2"/>
        <v>0</v>
      </c>
      <c r="S26">
        <f t="shared" si="2"/>
        <v>0</v>
      </c>
      <c r="T26">
        <f t="shared" si="2"/>
        <v>1</v>
      </c>
      <c r="V26">
        <f>IF(R26=1,C26,"")</f>
      </c>
      <c r="W26">
        <f>IF(R26=1,E26,"")</f>
      </c>
      <c r="X26">
        <f>IF(S26=1,C26,"")</f>
      </c>
      <c r="Y26">
        <f>IF(S26=1,E26,"")</f>
      </c>
      <c r="Z26">
        <f>IF($S26=1,H26,"")</f>
      </c>
      <c r="AA26">
        <f>IF($S26=1,J26,"")</f>
      </c>
      <c r="AB26" t="str">
        <f>IF($T26=1,H26,"")</f>
        <v>James Douglas</v>
      </c>
      <c r="AC26" t="str">
        <f>IF($T26=1,J26,"")</f>
        <v>Daniel Nash</v>
      </c>
    </row>
    <row r="27" spans="16:20" ht="12.75">
      <c r="P27" s="11"/>
      <c r="Q27" s="11"/>
      <c r="R27" s="11"/>
      <c r="S27" s="11"/>
      <c r="T27" s="11"/>
    </row>
    <row r="28" spans="1:20" ht="13.5" thickBot="1">
      <c r="A28" s="10" t="s">
        <v>65</v>
      </c>
      <c r="P28" s="13"/>
      <c r="Q28" s="13"/>
      <c r="R28" s="13"/>
      <c r="S28" s="13"/>
      <c r="T28" s="13"/>
    </row>
    <row r="29" spans="1:20" ht="12.75">
      <c r="A29" s="157" t="s">
        <v>17</v>
      </c>
      <c r="B29" s="154" t="s">
        <v>13</v>
      </c>
      <c r="C29" s="168" t="s">
        <v>37</v>
      </c>
      <c r="D29" s="168"/>
      <c r="E29" s="165"/>
      <c r="F29" s="146" t="s">
        <v>15</v>
      </c>
      <c r="G29" s="146"/>
      <c r="H29" s="167"/>
      <c r="I29" s="157" t="s">
        <v>23</v>
      </c>
      <c r="J29" s="152"/>
      <c r="K29" s="153"/>
      <c r="P29" s="13"/>
      <c r="Q29" s="13"/>
      <c r="R29" s="13"/>
      <c r="S29" s="13"/>
      <c r="T29" s="13"/>
    </row>
    <row r="30" spans="1:28" ht="13.5" thickBot="1">
      <c r="A30" s="158"/>
      <c r="B30" s="155"/>
      <c r="C30" s="45" t="s">
        <v>9</v>
      </c>
      <c r="D30" s="85" t="s">
        <v>22</v>
      </c>
      <c r="E30" s="166"/>
      <c r="F30" s="159" t="s">
        <v>10</v>
      </c>
      <c r="G30" s="160"/>
      <c r="H30" s="86" t="s">
        <v>22</v>
      </c>
      <c r="I30" s="126" t="s">
        <v>144</v>
      </c>
      <c r="J30" s="127" t="s">
        <v>24</v>
      </c>
      <c r="K30" s="128" t="s">
        <v>25</v>
      </c>
      <c r="V30" t="s">
        <v>146</v>
      </c>
      <c r="Y30" t="s">
        <v>147</v>
      </c>
      <c r="AA30" t="s">
        <v>147</v>
      </c>
      <c r="AB30" t="s">
        <v>146</v>
      </c>
    </row>
    <row r="31" spans="1:28" ht="13.5" customHeight="1" thickBot="1">
      <c r="A31" s="147" t="s">
        <v>18</v>
      </c>
      <c r="B31" s="149">
        <f>'Tee Times'!B31:B32</f>
        <v>1300</v>
      </c>
      <c r="C31" s="93" t="str">
        <f>IF('Tee Times'!C31=0,"",'Tee Times'!C31)</f>
        <v>Dave Chapman</v>
      </c>
      <c r="D31" s="93">
        <f>IF(ISERROR(VLOOKUP(C31,'[1]Scoreboard'!$B$2:$G$21,5,FALSE)),"",VLOOKUP(C31,'[1]Scoreboard'!$B$2:$G$21,5,FALSE))</f>
        <v>24</v>
      </c>
      <c r="E31" s="27" t="s">
        <v>14</v>
      </c>
      <c r="F31" s="151" t="str">
        <f>IF('Tee Times'!H31=0,"",'Tee Times'!H31)</f>
        <v>James Webb</v>
      </c>
      <c r="G31" s="151"/>
      <c r="H31" s="129">
        <f>IF(ISERROR(VLOOKUP(F31,'[1]Scoreboard'!$B$2:$G$21,5,FALSE)),"",VLOOKUP(F31,'[1]Scoreboard'!$B$2:$G$21,5,FALSE))</f>
        <v>29</v>
      </c>
      <c r="I31" s="60">
        <f>'[1]Day 4 Singles Matchplay'!M$24</f>
      </c>
      <c r="J31" s="61">
        <f>'[1]Day 4 Singles Matchplay'!N$24</f>
      </c>
      <c r="K31" s="62" t="str">
        <f>'[1]Day 4 Singles Matchplay'!O$24</f>
        <v>2 and 1</v>
      </c>
      <c r="O31"/>
      <c r="R31">
        <f aca="true" t="shared" si="3" ref="R31:R40">IF(COUNTA(I31)&gt;0,1,0)-COUNTIF(I31,"")</f>
        <v>0</v>
      </c>
      <c r="S31">
        <f aca="true" t="shared" si="4" ref="S31:S40">IF(COUNTA(J31)&gt;0,1,0)-COUNTIF(J31,"")</f>
        <v>0</v>
      </c>
      <c r="T31">
        <f aca="true" t="shared" si="5" ref="T31:T40">IF(COUNTA(K31)&gt;0,1,0)-COUNTIF(K31,"")</f>
        <v>1</v>
      </c>
      <c r="V31">
        <f>IF(R31=1,C31,"")</f>
      </c>
      <c r="Y31">
        <f>IF(S31=1,C31,"")</f>
      </c>
      <c r="AA31">
        <f>IF(S31=1,F31,"")</f>
      </c>
      <c r="AB31" t="str">
        <f>IF(T31=1,F31,"")</f>
        <v>James Webb</v>
      </c>
    </row>
    <row r="32" spans="1:28" ht="13.5" customHeight="1" thickBot="1">
      <c r="A32" s="148"/>
      <c r="B32" s="150"/>
      <c r="C32" s="94" t="str">
        <f>IF('Tee Times'!C32=0,"",'Tee Times'!C32)</f>
        <v>Basil Davies</v>
      </c>
      <c r="D32" s="94">
        <f>IF(ISERROR(VLOOKUP(C32,'[1]Scoreboard'!$B$2:$G$21,5,FALSE)),"",VLOOKUP(C32,'[1]Scoreboard'!$B$2:$G$21,5,FALSE))</f>
        <v>25</v>
      </c>
      <c r="E32" s="28" t="s">
        <v>14</v>
      </c>
      <c r="F32" s="151" t="str">
        <f>IF('Tee Times'!H32=0,"",'Tee Times'!H32)</f>
        <v>Marcus Street</v>
      </c>
      <c r="G32" s="151"/>
      <c r="H32" s="129">
        <f>IF(ISERROR(VLOOKUP(F32,'[1]Scoreboard'!$B$2:$G$21,5,FALSE)),"",VLOOKUP(F32,'[1]Scoreboard'!$B$2:$G$21,5,FALSE))</f>
        <v>26</v>
      </c>
      <c r="I32" s="130">
        <f>'[1]Day 4 Singles Matchplay'!M$49</f>
      </c>
      <c r="J32" s="58">
        <f>'[1]Day 4 Singles Matchplay'!N$49</f>
      </c>
      <c r="K32" s="59" t="str">
        <f>'[1]Day 4 Singles Matchplay'!O$49</f>
        <v>2 up</v>
      </c>
      <c r="O32"/>
      <c r="R32">
        <f t="shared" si="3"/>
        <v>0</v>
      </c>
      <c r="S32">
        <f t="shared" si="4"/>
        <v>0</v>
      </c>
      <c r="T32">
        <f t="shared" si="5"/>
        <v>1</v>
      </c>
      <c r="V32">
        <f aca="true" t="shared" si="6" ref="V32:V40">IF(R32=1,C32,"")</f>
      </c>
      <c r="Y32">
        <f aca="true" t="shared" si="7" ref="Y32:Y40">IF(S32=1,C32,"")</f>
      </c>
      <c r="AA32">
        <f aca="true" t="shared" si="8" ref="AA32:AA40">IF(S32=1,F32,"")</f>
      </c>
      <c r="AB32" t="str">
        <f aca="true" t="shared" si="9" ref="AB32:AB40">IF(T32=1,F32,"")</f>
        <v>Marcus Street</v>
      </c>
    </row>
    <row r="33" spans="1:28" ht="13.5" customHeight="1" thickBot="1">
      <c r="A33" s="161" t="s">
        <v>19</v>
      </c>
      <c r="B33" s="163">
        <f>'Tee Times'!B33:B34</f>
        <v>1308</v>
      </c>
      <c r="C33" s="93" t="str">
        <f>IF('Tee Times'!C33=0,"",'Tee Times'!C33)</f>
        <v>Adam Greening</v>
      </c>
      <c r="D33" s="93">
        <f>IF(ISERROR(VLOOKUP(C33,'[1]Scoreboard'!$B$2:$G$21,5,FALSE)),"",VLOOKUP(C33,'[1]Scoreboard'!$B$2:$G$21,5,FALSE))</f>
        <v>22</v>
      </c>
      <c r="E33" s="26" t="s">
        <v>14</v>
      </c>
      <c r="F33" s="151" t="str">
        <f>IF('Tee Times'!H33=0,"",'Tee Times'!H33)</f>
        <v>Scott Saurin</v>
      </c>
      <c r="G33" s="151"/>
      <c r="H33" s="129">
        <f>IF(ISERROR(VLOOKUP(F33,'[1]Scoreboard'!$B$2:$G$21,5,FALSE)),"",VLOOKUP(F33,'[1]Scoreboard'!$B$2:$G$21,5,FALSE))</f>
        <v>27</v>
      </c>
      <c r="I33" s="131">
        <f>'[1]Day 4 Singles Matchplay'!M$74</f>
      </c>
      <c r="J33" s="73">
        <f>'[1]Day 4 Singles Matchplay'!N$74</f>
      </c>
      <c r="K33" s="74" t="str">
        <f>'[1]Day 4 Singles Matchplay'!O$74</f>
        <v>4 and 2</v>
      </c>
      <c r="O33"/>
      <c r="R33">
        <f t="shared" si="3"/>
        <v>0</v>
      </c>
      <c r="S33">
        <f t="shared" si="4"/>
        <v>0</v>
      </c>
      <c r="T33">
        <f t="shared" si="5"/>
        <v>1</v>
      </c>
      <c r="V33">
        <f t="shared" si="6"/>
      </c>
      <c r="Y33">
        <f t="shared" si="7"/>
      </c>
      <c r="AA33">
        <f t="shared" si="8"/>
      </c>
      <c r="AB33" t="str">
        <f t="shared" si="9"/>
        <v>Scott Saurin</v>
      </c>
    </row>
    <row r="34" spans="1:28" ht="13.5" customHeight="1" thickBot="1">
      <c r="A34" s="162"/>
      <c r="B34" s="164"/>
      <c r="C34" s="94" t="str">
        <f>IF('Tee Times'!C34=0,"",'Tee Times'!C34)</f>
        <v>Ali Barnett</v>
      </c>
      <c r="D34" s="94">
        <f>IF(ISERROR(VLOOKUP(C34,'[1]Scoreboard'!$B$2:$G$21,5,FALSE)),"",VLOOKUP(C34,'[1]Scoreboard'!$B$2:$G$21,5,FALSE))</f>
        <v>26</v>
      </c>
      <c r="E34" s="21" t="s">
        <v>14</v>
      </c>
      <c r="F34" s="151" t="str">
        <f>IF('Tee Times'!H34=0,"",'Tee Times'!H34)</f>
        <v>Adam Douglas</v>
      </c>
      <c r="G34" s="151"/>
      <c r="H34" s="129">
        <f>IF(ISERROR(VLOOKUP(F34,'[1]Scoreboard'!$B$2:$G$21,5,FALSE)),"",VLOOKUP(F34,'[1]Scoreboard'!$B$2:$G$21,5,FALSE))</f>
        <v>27</v>
      </c>
      <c r="I34" s="130">
        <f>'[1]Day 4 Singles Matchplay'!M$99</f>
      </c>
      <c r="J34" s="58" t="str">
        <f>'[1]Day 4 Singles Matchplay'!N$99</f>
        <v>HALF</v>
      </c>
      <c r="K34" s="59">
        <f>'[1]Day 4 Singles Matchplay'!O$99</f>
      </c>
      <c r="R34">
        <f t="shared" si="3"/>
        <v>0</v>
      </c>
      <c r="S34">
        <f t="shared" si="4"/>
        <v>1</v>
      </c>
      <c r="T34">
        <f t="shared" si="5"/>
        <v>0</v>
      </c>
      <c r="V34">
        <f t="shared" si="6"/>
      </c>
      <c r="Y34" t="str">
        <f t="shared" si="7"/>
        <v>Ali Barnett</v>
      </c>
      <c r="AA34" t="str">
        <f t="shared" si="8"/>
        <v>Adam Douglas</v>
      </c>
      <c r="AB34">
        <f t="shared" si="9"/>
      </c>
    </row>
    <row r="35" spans="1:28" ht="13.5" customHeight="1" thickBot="1">
      <c r="A35" s="147" t="s">
        <v>20</v>
      </c>
      <c r="B35" s="149">
        <f>'Tee Times'!B35:B36</f>
        <v>1316</v>
      </c>
      <c r="C35" s="93" t="str">
        <f>IF('Tee Times'!C35=0,"",'Tee Times'!C35)</f>
        <v>Adam Smith</v>
      </c>
      <c r="D35" s="93">
        <f>IF(ISERROR(VLOOKUP(C35,'[1]Scoreboard'!$B$2:$G$21,5,FALSE)),"",VLOOKUP(C35,'[1]Scoreboard'!$B$2:$G$21,5,FALSE))</f>
        <v>26</v>
      </c>
      <c r="E35" s="27" t="s">
        <v>14</v>
      </c>
      <c r="F35" s="151" t="str">
        <f>IF('Tee Times'!H35=0,"",'Tee Times'!H35)</f>
        <v>James Spackman</v>
      </c>
      <c r="G35" s="151"/>
      <c r="H35" s="129">
        <f>IF(ISERROR(VLOOKUP(F35,'[1]Scoreboard'!$B$2:$G$21,5,FALSE)),"",VLOOKUP(F35,'[1]Scoreboard'!$B$2:$G$21,5,FALSE))</f>
        <v>32</v>
      </c>
      <c r="I35" s="131">
        <f>'[1]Day 4 Singles Matchplay'!M$124</f>
      </c>
      <c r="J35" s="73">
        <f>'[1]Day 4 Singles Matchplay'!N$124</f>
      </c>
      <c r="K35" s="74" t="str">
        <f>'[1]Day 4 Singles Matchplay'!O$124</f>
        <v>3 and 1</v>
      </c>
      <c r="R35">
        <f t="shared" si="3"/>
        <v>0</v>
      </c>
      <c r="S35">
        <f t="shared" si="4"/>
        <v>0</v>
      </c>
      <c r="T35">
        <f t="shared" si="5"/>
        <v>1</v>
      </c>
      <c r="V35">
        <f t="shared" si="6"/>
      </c>
      <c r="Y35">
        <f t="shared" si="7"/>
      </c>
      <c r="AA35">
        <f t="shared" si="8"/>
      </c>
      <c r="AB35" t="str">
        <f t="shared" si="9"/>
        <v>James Spackman</v>
      </c>
    </row>
    <row r="36" spans="1:28" ht="13.5" customHeight="1" thickBot="1">
      <c r="A36" s="148"/>
      <c r="B36" s="150"/>
      <c r="C36" s="94" t="str">
        <f>IF('Tee Times'!C36=0,"",'Tee Times'!C36)</f>
        <v>Moray Fleming</v>
      </c>
      <c r="D36" s="94">
        <f>IF(ISERROR(VLOOKUP(C36,'[1]Scoreboard'!$B$2:$G$21,5,FALSE)),"",VLOOKUP(C36,'[1]Scoreboard'!$B$2:$G$21,5,FALSE))</f>
        <v>30</v>
      </c>
      <c r="E36" s="28" t="s">
        <v>14</v>
      </c>
      <c r="F36" s="151" t="str">
        <f>IF('Tee Times'!H36=0,"",'Tee Times'!H36)</f>
        <v>Tony Chapman</v>
      </c>
      <c r="G36" s="151"/>
      <c r="H36" s="129">
        <f>IF(ISERROR(VLOOKUP(F36,'[1]Scoreboard'!$B$2:$G$21,5,FALSE)),"",VLOOKUP(F36,'[1]Scoreboard'!$B$2:$G$21,5,FALSE))</f>
        <v>23</v>
      </c>
      <c r="I36" s="131" t="str">
        <f>'[1]Day 4 Singles Matchplay'!M$149</f>
        <v>6 and 4</v>
      </c>
      <c r="J36" s="73">
        <f>'[1]Day 4 Singles Matchplay'!N$149</f>
      </c>
      <c r="K36" s="74">
        <f>'[1]Day 4 Singles Matchplay'!O$149</f>
      </c>
      <c r="R36">
        <f t="shared" si="3"/>
        <v>1</v>
      </c>
      <c r="S36">
        <f t="shared" si="4"/>
        <v>0</v>
      </c>
      <c r="T36">
        <f t="shared" si="5"/>
        <v>0</v>
      </c>
      <c r="V36" t="str">
        <f t="shared" si="6"/>
        <v>Moray Fleming</v>
      </c>
      <c r="Y36">
        <f t="shared" si="7"/>
      </c>
      <c r="AA36">
        <f t="shared" si="8"/>
      </c>
      <c r="AB36">
        <f t="shared" si="9"/>
      </c>
    </row>
    <row r="37" spans="1:28" ht="13.5" customHeight="1" thickBot="1">
      <c r="A37" s="161" t="s">
        <v>21</v>
      </c>
      <c r="B37" s="163">
        <f>'Tee Times'!B37:B38</f>
        <v>1324</v>
      </c>
      <c r="C37" s="93" t="str">
        <f>IF('Tee Times'!C37=0,"",'Tee Times'!C37)</f>
        <v>Alex Davies</v>
      </c>
      <c r="D37" s="93">
        <f>IF(ISERROR(VLOOKUP(C37,'[1]Scoreboard'!$B$2:$G$21,5,FALSE)),"",VLOOKUP(C37,'[1]Scoreboard'!$B$2:$G$21,5,FALSE))</f>
        <v>37</v>
      </c>
      <c r="E37" s="26" t="s">
        <v>14</v>
      </c>
      <c r="F37" s="151" t="str">
        <f>IF('Tee Times'!H37=0,"",'Tee Times'!H37)</f>
        <v>Daniel Nash</v>
      </c>
      <c r="G37" s="151"/>
      <c r="H37" s="129">
        <f>IF(ISERROR(VLOOKUP(F37,'[1]Scoreboard'!$B$2:$G$21,5,FALSE)),"",VLOOKUP(F37,'[1]Scoreboard'!$B$2:$G$21,5,FALSE))</f>
        <v>31</v>
      </c>
      <c r="I37" s="130" t="str">
        <f>'[1]Day 4 Singles Matchplay'!M$174</f>
        <v>3 and 2</v>
      </c>
      <c r="J37" s="58">
        <f>'[1]Day 4 Singles Matchplay'!N$174</f>
      </c>
      <c r="K37" s="59">
        <f>'[1]Day 4 Singles Matchplay'!O$174</f>
      </c>
      <c r="P37" s="6"/>
      <c r="Q37" s="6"/>
      <c r="R37">
        <f t="shared" si="3"/>
        <v>1</v>
      </c>
      <c r="S37">
        <f t="shared" si="4"/>
        <v>0</v>
      </c>
      <c r="T37">
        <f t="shared" si="5"/>
        <v>0</v>
      </c>
      <c r="V37" t="str">
        <f t="shared" si="6"/>
        <v>Alex Davies</v>
      </c>
      <c r="Y37">
        <f t="shared" si="7"/>
      </c>
      <c r="AA37">
        <f t="shared" si="8"/>
      </c>
      <c r="AB37">
        <f t="shared" si="9"/>
      </c>
    </row>
    <row r="38" spans="1:28" ht="13.5" customHeight="1" thickBot="1">
      <c r="A38" s="162"/>
      <c r="B38" s="164"/>
      <c r="C38" s="94" t="str">
        <f>IF('Tee Times'!C38=0,"",'Tee Times'!C38)</f>
        <v>Tony Williams</v>
      </c>
      <c r="D38" s="94">
        <f>IF(ISERROR(VLOOKUP(C38,'[1]Scoreboard'!$B$2:$G$21,5,FALSE)),"",VLOOKUP(C38,'[1]Scoreboard'!$B$2:$G$21,5,FALSE))</f>
        <v>33</v>
      </c>
      <c r="E38" s="21" t="s">
        <v>14</v>
      </c>
      <c r="F38" s="151" t="str">
        <f>IF('Tee Times'!H38=0,"",'Tee Times'!H38)</f>
        <v>Roger Chapman</v>
      </c>
      <c r="G38" s="151"/>
      <c r="H38" s="129">
        <f>IF(ISERROR(VLOOKUP(F38,'[1]Scoreboard'!$B$2:$G$21,5,FALSE)),"",VLOOKUP(F38,'[1]Scoreboard'!$B$2:$G$21,5,FALSE))</f>
        <v>25</v>
      </c>
      <c r="I38" s="131" t="str">
        <f>'[1]Day 4 Singles Matchplay'!M$199</f>
        <v>6 and 5</v>
      </c>
      <c r="J38" s="73">
        <f>'[1]Day 4 Singles Matchplay'!N$199</f>
      </c>
      <c r="K38" s="74">
        <f>'[1]Day 4 Singles Matchplay'!O$199</f>
      </c>
      <c r="P38" s="6"/>
      <c r="Q38" s="6"/>
      <c r="R38">
        <f t="shared" si="3"/>
        <v>1</v>
      </c>
      <c r="S38">
        <f t="shared" si="4"/>
        <v>0</v>
      </c>
      <c r="T38">
        <f t="shared" si="5"/>
        <v>0</v>
      </c>
      <c r="V38" t="str">
        <f t="shared" si="6"/>
        <v>Tony Williams</v>
      </c>
      <c r="Y38">
        <f t="shared" si="7"/>
      </c>
      <c r="AA38">
        <f t="shared" si="8"/>
      </c>
      <c r="AB38">
        <f t="shared" si="9"/>
      </c>
    </row>
    <row r="39" spans="1:28" ht="12.75" customHeight="1" thickBot="1">
      <c r="A39" s="147" t="s">
        <v>47</v>
      </c>
      <c r="B39" s="149">
        <f>'Tee Times'!B39:B40</f>
        <v>1332</v>
      </c>
      <c r="C39" s="93" t="str">
        <f>IF('Tee Times'!C39=0,"",'Tee Times'!C39)</f>
        <v>Luke Gallagher</v>
      </c>
      <c r="D39" s="93">
        <f>IF(ISERROR(VLOOKUP(C39,'[1]Scoreboard'!$B$2:$G$21,5,FALSE)),"",VLOOKUP(C39,'[1]Scoreboard'!$B$2:$G$21,5,FALSE))</f>
        <v>18</v>
      </c>
      <c r="E39" s="27" t="s">
        <v>14</v>
      </c>
      <c r="F39" s="151" t="str">
        <f>IF('Tee Times'!H39=0,"",'Tee Times'!H39)</f>
        <v>Marc Talbot</v>
      </c>
      <c r="G39" s="151"/>
      <c r="H39" s="129">
        <f>IF(ISERROR(VLOOKUP(F39,'[1]Scoreboard'!$B$2:$G$21,5,FALSE)),"",VLOOKUP(F39,'[1]Scoreboard'!$B$2:$G$21,5,FALSE))</f>
        <v>17</v>
      </c>
      <c r="I39" s="130" t="str">
        <f>'[1]Day 4 Singles Matchplay'!M$224</f>
        <v>2 up</v>
      </c>
      <c r="J39" s="58">
        <f>'[1]Day 4 Singles Matchplay'!N$224</f>
      </c>
      <c r="K39" s="59">
        <f>'[1]Day 4 Singles Matchplay'!O$224</f>
      </c>
      <c r="P39" s="6"/>
      <c r="Q39" s="6"/>
      <c r="R39">
        <f t="shared" si="3"/>
        <v>1</v>
      </c>
      <c r="S39">
        <f t="shared" si="4"/>
        <v>0</v>
      </c>
      <c r="T39">
        <f t="shared" si="5"/>
        <v>0</v>
      </c>
      <c r="V39" t="str">
        <f t="shared" si="6"/>
        <v>Luke Gallagher</v>
      </c>
      <c r="Y39">
        <f t="shared" si="7"/>
      </c>
      <c r="AA39">
        <f t="shared" si="8"/>
      </c>
      <c r="AB39">
        <f t="shared" si="9"/>
      </c>
    </row>
    <row r="40" spans="1:28" ht="12.75" customHeight="1" thickBot="1">
      <c r="A40" s="148"/>
      <c r="B40" s="150"/>
      <c r="C40" s="94" t="str">
        <f>IF('Tee Times'!C40=0,"",'Tee Times'!C40)</f>
        <v>Giles Elliott</v>
      </c>
      <c r="D40" s="94">
        <f>IF(ISERROR(VLOOKUP(C40,'[1]Scoreboard'!$B$2:$G$21,5,FALSE)),"",VLOOKUP(C40,'[1]Scoreboard'!$B$2:$G$21,5,FALSE))</f>
        <v>19</v>
      </c>
      <c r="E40" s="28" t="s">
        <v>14</v>
      </c>
      <c r="F40" s="151" t="str">
        <f>IF('Tee Times'!H40=0,"",'Tee Times'!H40)</f>
        <v>James Douglas</v>
      </c>
      <c r="G40" s="151"/>
      <c r="H40" s="129">
        <f>IF(ISERROR(VLOOKUP(F40,'[1]Scoreboard'!$B$2:$G$21,5,FALSE)),"",VLOOKUP(F40,'[1]Scoreboard'!$B$2:$G$21,5,FALSE))</f>
        <v>24</v>
      </c>
      <c r="I40" s="132">
        <f>'[1]Day 4 Singles Matchplay'!M$249</f>
      </c>
      <c r="J40" s="83" t="str">
        <f>'[1]Day 4 Singles Matchplay'!N$249</f>
        <v>HALF</v>
      </c>
      <c r="K40" s="84">
        <f>'[1]Day 4 Singles Matchplay'!O$249</f>
      </c>
      <c r="P40" s="6"/>
      <c r="Q40" s="6"/>
      <c r="R40">
        <f t="shared" si="3"/>
        <v>0</v>
      </c>
      <c r="S40">
        <f t="shared" si="4"/>
        <v>1</v>
      </c>
      <c r="T40">
        <f t="shared" si="5"/>
        <v>0</v>
      </c>
      <c r="V40">
        <f t="shared" si="6"/>
      </c>
      <c r="Y40" t="str">
        <f t="shared" si="7"/>
        <v>Giles Elliott</v>
      </c>
      <c r="AA40" t="str">
        <f t="shared" si="8"/>
        <v>James Douglas</v>
      </c>
      <c r="AB40">
        <f t="shared" si="9"/>
      </c>
    </row>
    <row r="41" spans="16:20" ht="12.75" customHeight="1">
      <c r="P41" s="6"/>
      <c r="Q41" s="6"/>
      <c r="R41" s="6"/>
      <c r="S41" s="6"/>
      <c r="T41" s="6"/>
    </row>
    <row r="42" spans="16:20" ht="12.75" customHeight="1">
      <c r="P42" s="6"/>
      <c r="Q42" s="6"/>
      <c r="R42" s="6">
        <f>SUM(R4:R40)</f>
        <v>10</v>
      </c>
      <c r="S42" s="6">
        <f>SUM(S4:S40)</f>
        <v>5</v>
      </c>
      <c r="T42" s="6">
        <f>SUM(T4:T40)</f>
        <v>10</v>
      </c>
    </row>
    <row r="43" spans="3:7" ht="12.75">
      <c r="C43" s="9" t="s">
        <v>48</v>
      </c>
      <c r="D43" s="14" t="s">
        <v>148</v>
      </c>
      <c r="E43" s="14" t="s">
        <v>149</v>
      </c>
      <c r="F43" s="14" t="s">
        <v>150</v>
      </c>
      <c r="G43" s="63" t="s">
        <v>151</v>
      </c>
    </row>
    <row r="44" spans="3:7" ht="12.75">
      <c r="C44" s="3" t="s">
        <v>55</v>
      </c>
      <c r="D44" s="8">
        <f aca="true" t="shared" si="10" ref="D44:D53">COUNTIF(AB$4:AD$40,C44)</f>
        <v>3</v>
      </c>
      <c r="E44" s="8">
        <f aca="true" t="shared" si="11" ref="E44:E53">COUNTIF(Z$4:AA$40,C44)</f>
        <v>0</v>
      </c>
      <c r="F44" s="8">
        <f aca="true" t="shared" si="12" ref="F44:F53">4-SUM(D44:E44)</f>
        <v>1</v>
      </c>
      <c r="G44" s="7">
        <f aca="true" t="shared" si="13" ref="G44:G53">(D44*1)+(E44*0.5)</f>
        <v>3</v>
      </c>
    </row>
    <row r="45" spans="3:7" ht="12.75">
      <c r="C45" s="3" t="s">
        <v>58</v>
      </c>
      <c r="D45" s="8">
        <f t="shared" si="10"/>
        <v>3</v>
      </c>
      <c r="E45" s="8">
        <f t="shared" si="11"/>
        <v>0</v>
      </c>
      <c r="F45" s="8">
        <f t="shared" si="12"/>
        <v>1</v>
      </c>
      <c r="G45" s="7">
        <f t="shared" si="13"/>
        <v>3</v>
      </c>
    </row>
    <row r="46" spans="3:7" ht="12.75">
      <c r="C46" s="3" t="s">
        <v>51</v>
      </c>
      <c r="D46" s="8">
        <f t="shared" si="10"/>
        <v>1</v>
      </c>
      <c r="E46" s="8">
        <f t="shared" si="11"/>
        <v>3</v>
      </c>
      <c r="F46" s="8">
        <f t="shared" si="12"/>
        <v>0</v>
      </c>
      <c r="G46" s="7">
        <f t="shared" si="13"/>
        <v>2.5</v>
      </c>
    </row>
    <row r="47" spans="3:7" ht="12.75">
      <c r="C47" s="3" t="s">
        <v>0</v>
      </c>
      <c r="D47" s="8">
        <f t="shared" si="10"/>
        <v>2</v>
      </c>
      <c r="E47" s="8">
        <f t="shared" si="11"/>
        <v>1</v>
      </c>
      <c r="F47" s="8">
        <f t="shared" si="12"/>
        <v>1</v>
      </c>
      <c r="G47" s="7">
        <f t="shared" si="13"/>
        <v>2.5</v>
      </c>
    </row>
    <row r="48" spans="3:7" ht="12.75">
      <c r="C48" s="3" t="s">
        <v>105</v>
      </c>
      <c r="D48" s="8">
        <f t="shared" si="10"/>
        <v>2</v>
      </c>
      <c r="E48" s="8">
        <f t="shared" si="11"/>
        <v>0</v>
      </c>
      <c r="F48" s="8">
        <f t="shared" si="12"/>
        <v>2</v>
      </c>
      <c r="G48" s="7">
        <f t="shared" si="13"/>
        <v>2</v>
      </c>
    </row>
    <row r="49" spans="3:7" ht="12.75">
      <c r="C49" s="3" t="s">
        <v>49</v>
      </c>
      <c r="D49" s="8">
        <f t="shared" si="10"/>
        <v>2</v>
      </c>
      <c r="E49" s="8">
        <f t="shared" si="11"/>
        <v>0</v>
      </c>
      <c r="F49" s="8">
        <f t="shared" si="12"/>
        <v>2</v>
      </c>
      <c r="G49" s="7">
        <f t="shared" si="13"/>
        <v>2</v>
      </c>
    </row>
    <row r="50" spans="3:7" ht="12.75">
      <c r="C50" s="3" t="s">
        <v>2</v>
      </c>
      <c r="D50" s="8">
        <f t="shared" si="10"/>
        <v>1</v>
      </c>
      <c r="E50" s="8">
        <f t="shared" si="11"/>
        <v>1</v>
      </c>
      <c r="F50" s="8">
        <f t="shared" si="12"/>
        <v>2</v>
      </c>
      <c r="G50" s="7">
        <f t="shared" si="13"/>
        <v>1.5</v>
      </c>
    </row>
    <row r="51" spans="3:7" ht="12.75">
      <c r="C51" s="3" t="s">
        <v>8</v>
      </c>
      <c r="D51" s="8">
        <f t="shared" si="10"/>
        <v>1</v>
      </c>
      <c r="E51" s="8">
        <f t="shared" si="11"/>
        <v>1</v>
      </c>
      <c r="F51" s="8">
        <f t="shared" si="12"/>
        <v>2</v>
      </c>
      <c r="G51" s="7">
        <f t="shared" si="13"/>
        <v>1.5</v>
      </c>
    </row>
    <row r="52" spans="3:7" ht="12.75">
      <c r="C52" s="3" t="s">
        <v>1</v>
      </c>
      <c r="D52" s="8">
        <f t="shared" si="10"/>
        <v>1</v>
      </c>
      <c r="E52" s="8">
        <f t="shared" si="11"/>
        <v>1</v>
      </c>
      <c r="F52" s="8">
        <f t="shared" si="12"/>
        <v>2</v>
      </c>
      <c r="G52" s="7">
        <f t="shared" si="13"/>
        <v>1.5</v>
      </c>
    </row>
    <row r="53" spans="3:7" ht="12.75">
      <c r="C53" s="3" t="s">
        <v>52</v>
      </c>
      <c r="D53" s="8">
        <f t="shared" si="10"/>
        <v>0</v>
      </c>
      <c r="E53" s="8">
        <f t="shared" si="11"/>
        <v>1</v>
      </c>
      <c r="F53" s="8">
        <f t="shared" si="12"/>
        <v>3</v>
      </c>
      <c r="G53" s="7">
        <f t="shared" si="13"/>
        <v>0.5</v>
      </c>
    </row>
    <row r="54" ht="12.75">
      <c r="C54" s="6"/>
    </row>
    <row r="55" spans="3:7" ht="12.75">
      <c r="C55" s="9" t="s">
        <v>37</v>
      </c>
      <c r="D55" s="14" t="s">
        <v>148</v>
      </c>
      <c r="E55" s="14" t="s">
        <v>149</v>
      </c>
      <c r="F55" s="14" t="s">
        <v>150</v>
      </c>
      <c r="G55" s="63" t="s">
        <v>151</v>
      </c>
    </row>
    <row r="56" spans="3:7" ht="12.75">
      <c r="C56" s="3" t="s">
        <v>5</v>
      </c>
      <c r="D56" s="8">
        <f aca="true" t="shared" si="14" ref="D56:D65">COUNTIF(V$4:W$40,C56)</f>
        <v>3</v>
      </c>
      <c r="E56" s="8">
        <f aca="true" t="shared" si="15" ref="E56:E65">COUNTIF(X$4:Y$40,C56)</f>
        <v>0</v>
      </c>
      <c r="F56" s="8">
        <f aca="true" t="shared" si="16" ref="F56:F65">4-SUM(D56:E56)</f>
        <v>1</v>
      </c>
      <c r="G56" s="7">
        <f aca="true" t="shared" si="17" ref="G56:G65">(D56*1)+(E56*0.5)</f>
        <v>3</v>
      </c>
    </row>
    <row r="57" spans="3:7" ht="12.75">
      <c r="C57" s="3" t="s">
        <v>50</v>
      </c>
      <c r="D57" s="8">
        <f t="shared" si="14"/>
        <v>3</v>
      </c>
      <c r="E57" s="8">
        <f t="shared" si="15"/>
        <v>0</v>
      </c>
      <c r="F57" s="8">
        <f t="shared" si="16"/>
        <v>1</v>
      </c>
      <c r="G57" s="7">
        <f t="shared" si="17"/>
        <v>3</v>
      </c>
    </row>
    <row r="58" spans="3:7" ht="12.75">
      <c r="C58" s="3" t="s">
        <v>4</v>
      </c>
      <c r="D58" s="8">
        <f t="shared" si="14"/>
        <v>2</v>
      </c>
      <c r="E58" s="8">
        <f t="shared" si="15"/>
        <v>2</v>
      </c>
      <c r="F58" s="8">
        <f t="shared" si="16"/>
        <v>0</v>
      </c>
      <c r="G58" s="7">
        <f t="shared" si="17"/>
        <v>3</v>
      </c>
    </row>
    <row r="59" spans="3:7" ht="12.75">
      <c r="C59" s="3" t="s">
        <v>3</v>
      </c>
      <c r="D59" s="8">
        <f t="shared" si="14"/>
        <v>2</v>
      </c>
      <c r="E59" s="8">
        <f t="shared" si="15"/>
        <v>0</v>
      </c>
      <c r="F59" s="8">
        <f t="shared" si="16"/>
        <v>2</v>
      </c>
      <c r="G59" s="7">
        <f t="shared" si="17"/>
        <v>2</v>
      </c>
    </row>
    <row r="60" spans="3:7" ht="12.75">
      <c r="C60" s="3" t="s">
        <v>54</v>
      </c>
      <c r="D60" s="8">
        <f t="shared" si="14"/>
        <v>2</v>
      </c>
      <c r="E60" s="8">
        <f t="shared" si="15"/>
        <v>0</v>
      </c>
      <c r="F60" s="8">
        <f t="shared" si="16"/>
        <v>2</v>
      </c>
      <c r="G60" s="7">
        <f t="shared" si="17"/>
        <v>2</v>
      </c>
    </row>
    <row r="61" spans="3:7" ht="12.75">
      <c r="C61" s="3" t="s">
        <v>106</v>
      </c>
      <c r="D61" s="8">
        <f t="shared" si="14"/>
        <v>1</v>
      </c>
      <c r="E61" s="8">
        <f t="shared" si="15"/>
        <v>2</v>
      </c>
      <c r="F61" s="8">
        <f t="shared" si="16"/>
        <v>1</v>
      </c>
      <c r="G61" s="7">
        <f t="shared" si="17"/>
        <v>2</v>
      </c>
    </row>
    <row r="62" spans="3:7" ht="12.75">
      <c r="C62" s="3" t="s">
        <v>53</v>
      </c>
      <c r="D62" s="8">
        <f t="shared" si="14"/>
        <v>1</v>
      </c>
      <c r="E62" s="8">
        <f t="shared" si="15"/>
        <v>1</v>
      </c>
      <c r="F62" s="8">
        <f t="shared" si="16"/>
        <v>2</v>
      </c>
      <c r="G62" s="7">
        <f t="shared" si="17"/>
        <v>1.5</v>
      </c>
    </row>
    <row r="63" spans="3:7" ht="12.75">
      <c r="C63" s="3" t="s">
        <v>6</v>
      </c>
      <c r="D63" s="8">
        <f t="shared" si="14"/>
        <v>1</v>
      </c>
      <c r="E63" s="8">
        <f t="shared" si="15"/>
        <v>1</v>
      </c>
      <c r="F63" s="8">
        <f t="shared" si="16"/>
        <v>2</v>
      </c>
      <c r="G63" s="7">
        <f t="shared" si="17"/>
        <v>1.5</v>
      </c>
    </row>
    <row r="64" spans="3:7" ht="12.75">
      <c r="C64" s="3" t="s">
        <v>7</v>
      </c>
      <c r="D64" s="8">
        <f t="shared" si="14"/>
        <v>1</v>
      </c>
      <c r="E64" s="8">
        <f t="shared" si="15"/>
        <v>1</v>
      </c>
      <c r="F64" s="8">
        <f t="shared" si="16"/>
        <v>2</v>
      </c>
      <c r="G64" s="7">
        <f t="shared" si="17"/>
        <v>1.5</v>
      </c>
    </row>
    <row r="65" spans="3:7" ht="12.75">
      <c r="C65" s="3" t="s">
        <v>36</v>
      </c>
      <c r="D65" s="8">
        <f t="shared" si="14"/>
        <v>0</v>
      </c>
      <c r="E65" s="8">
        <f t="shared" si="15"/>
        <v>1</v>
      </c>
      <c r="F65" s="8">
        <f t="shared" si="16"/>
        <v>3</v>
      </c>
      <c r="G65" s="7">
        <f t="shared" si="17"/>
        <v>0.5</v>
      </c>
    </row>
  </sheetData>
  <sheetProtection/>
  <mergeCells count="42">
    <mergeCell ref="I29:K29"/>
    <mergeCell ref="H11:K11"/>
    <mergeCell ref="H20:K20"/>
    <mergeCell ref="F29:H29"/>
    <mergeCell ref="A31:A32"/>
    <mergeCell ref="A29:A30"/>
    <mergeCell ref="B29:B30"/>
    <mergeCell ref="C29:D29"/>
    <mergeCell ref="A35:A36"/>
    <mergeCell ref="A37:A38"/>
    <mergeCell ref="B37:B38"/>
    <mergeCell ref="B35:B36"/>
    <mergeCell ref="E29:E30"/>
    <mergeCell ref="B31:B32"/>
    <mergeCell ref="A33:A34"/>
    <mergeCell ref="B33:B34"/>
    <mergeCell ref="F30:G30"/>
    <mergeCell ref="F31:G31"/>
    <mergeCell ref="F32:G32"/>
    <mergeCell ref="F34:G34"/>
    <mergeCell ref="F33:G33"/>
    <mergeCell ref="F38:G38"/>
    <mergeCell ref="F35:G35"/>
    <mergeCell ref="F36:G36"/>
    <mergeCell ref="F37:G37"/>
    <mergeCell ref="L20:N20"/>
    <mergeCell ref="A11:A12"/>
    <mergeCell ref="A20:A21"/>
    <mergeCell ref="C11:F11"/>
    <mergeCell ref="A2:A3"/>
    <mergeCell ref="B2:B3"/>
    <mergeCell ref="C2:F2"/>
    <mergeCell ref="H2:K2"/>
    <mergeCell ref="A39:A40"/>
    <mergeCell ref="B39:B40"/>
    <mergeCell ref="F39:G39"/>
    <mergeCell ref="F40:G40"/>
    <mergeCell ref="L2:N2"/>
    <mergeCell ref="B11:B12"/>
    <mergeCell ref="B20:B21"/>
    <mergeCell ref="C20:F20"/>
    <mergeCell ref="L11:N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130" zoomScaleNormal="130" zoomScalePageLayoutView="0" workbookViewId="0" topLeftCell="A1">
      <selection activeCell="G25" sqref="G25"/>
    </sheetView>
  </sheetViews>
  <sheetFormatPr defaultColWidth="9.140625" defaultRowHeight="12.75"/>
  <cols>
    <col min="1" max="1" width="7.8515625" style="6" bestFit="1" customWidth="1"/>
    <col min="2" max="2" width="17.421875" style="0" customWidth="1"/>
    <col min="3" max="6" width="12.421875" style="6" customWidth="1"/>
    <col min="7" max="7" width="17.140625" style="6" customWidth="1"/>
  </cols>
  <sheetData>
    <row r="1" spans="1:12" ht="12.75">
      <c r="A1" s="112" t="s">
        <v>31</v>
      </c>
      <c r="B1" s="113" t="s">
        <v>26</v>
      </c>
      <c r="C1" s="113" t="s">
        <v>27</v>
      </c>
      <c r="D1" s="113" t="s">
        <v>28</v>
      </c>
      <c r="E1" s="113" t="s">
        <v>29</v>
      </c>
      <c r="F1" s="113" t="s">
        <v>30</v>
      </c>
      <c r="G1" s="114" t="s">
        <v>56</v>
      </c>
      <c r="L1" s="36"/>
    </row>
    <row r="2" spans="1:7" ht="12.75">
      <c r="A2" s="7">
        <f>RANK(G2,G$2:G$21)</f>
        <v>16</v>
      </c>
      <c r="B2" s="3" t="s">
        <v>3</v>
      </c>
      <c r="C2" s="7">
        <f>VLOOKUP(B2,'[1]Scoreboard'!$B$2:$F$21,2,FALSE)</f>
        <v>35</v>
      </c>
      <c r="D2" s="7">
        <f>VLOOKUP(B2,'[1]Scoreboard'!$B$2:$F$21,3,FALSE)</f>
        <v>29</v>
      </c>
      <c r="E2" s="7">
        <f>VLOOKUP(B2,'[1]Scoreboard'!$B$2:$F$21,4,FALSE)</f>
        <v>28</v>
      </c>
      <c r="F2" s="7">
        <f>VLOOKUP($B2,'[1]Scoreboard'!$B$2:$F$21,5,FALSE)</f>
        <v>22</v>
      </c>
      <c r="G2" s="7">
        <f aca="true" t="shared" si="0" ref="G2:G21">SUM(C2:F2)</f>
        <v>114</v>
      </c>
    </row>
    <row r="3" spans="1:7" ht="12.75">
      <c r="A3" s="7">
        <f aca="true" t="shared" si="1" ref="A3:A21">RANK(G3,G$2:G$21)</f>
        <v>2</v>
      </c>
      <c r="B3" s="3" t="s">
        <v>54</v>
      </c>
      <c r="C3" s="7">
        <f>VLOOKUP(B3,'[1]Scoreboard'!$B$2:$F$21,2,FALSE)</f>
        <v>32</v>
      </c>
      <c r="D3" s="7">
        <f>VLOOKUP(B3,'[1]Scoreboard'!$B$2:$F$21,3,FALSE)</f>
        <v>29</v>
      </c>
      <c r="E3" s="7">
        <f>VLOOKUP(B3,'[1]Scoreboard'!$B$2:$F$21,4,FALSE)</f>
        <v>35</v>
      </c>
      <c r="F3" s="7">
        <f>VLOOKUP($B3,'[1]Scoreboard'!$B$2:$F$21,5,FALSE)</f>
        <v>37</v>
      </c>
      <c r="G3" s="7">
        <f t="shared" si="0"/>
        <v>133</v>
      </c>
    </row>
    <row r="4" spans="1:7" ht="12.75">
      <c r="A4" s="7">
        <f t="shared" si="1"/>
        <v>19</v>
      </c>
      <c r="B4" s="3" t="s">
        <v>106</v>
      </c>
      <c r="C4" s="7">
        <f>VLOOKUP(B4,'[1]Scoreboard'!$B$2:$F$21,2,FALSE)</f>
        <v>28</v>
      </c>
      <c r="D4" s="7">
        <f>VLOOKUP(B4,'[1]Scoreboard'!$B$2:$F$21,3,FALSE)</f>
        <v>33</v>
      </c>
      <c r="E4" s="7">
        <f>VLOOKUP(B4,'[1]Scoreboard'!$B$2:$F$21,4,FALSE)</f>
        <v>28</v>
      </c>
      <c r="F4" s="7">
        <f>VLOOKUP($B4,'[1]Scoreboard'!$B$2:$F$21,5,FALSE)</f>
        <v>19</v>
      </c>
      <c r="G4" s="7">
        <f t="shared" si="0"/>
        <v>108</v>
      </c>
    </row>
    <row r="5" spans="1:7" ht="12.75">
      <c r="A5" s="7">
        <f t="shared" si="1"/>
        <v>5</v>
      </c>
      <c r="B5" s="3" t="s">
        <v>53</v>
      </c>
      <c r="C5" s="7">
        <f>VLOOKUP(B5,'[1]Scoreboard'!$B$2:$F$21,2,FALSE)</f>
        <v>31</v>
      </c>
      <c r="D5" s="7">
        <f>VLOOKUP(B5,'[1]Scoreboard'!$B$2:$F$21,3,FALSE)</f>
        <v>35</v>
      </c>
      <c r="E5" s="7">
        <f>VLOOKUP(B5,'[1]Scoreboard'!$B$2:$F$21,4,FALSE)</f>
        <v>35</v>
      </c>
      <c r="F5" s="7">
        <f>VLOOKUP($B5,'[1]Scoreboard'!$B$2:$F$21,5,FALSE)</f>
        <v>25</v>
      </c>
      <c r="G5" s="7">
        <f t="shared" si="0"/>
        <v>126</v>
      </c>
    </row>
    <row r="6" spans="1:7" ht="12.75">
      <c r="A6" s="7">
        <f t="shared" si="1"/>
        <v>6</v>
      </c>
      <c r="B6" s="3" t="s">
        <v>6</v>
      </c>
      <c r="C6" s="7">
        <f>VLOOKUP(B6,'[1]Scoreboard'!$B$2:$F$21,2,FALSE)</f>
        <v>36</v>
      </c>
      <c r="D6" s="7">
        <f>VLOOKUP(B6,'[1]Scoreboard'!$B$2:$F$21,3,FALSE)</f>
        <v>30</v>
      </c>
      <c r="E6" s="7">
        <f>VLOOKUP(B6,'[1]Scoreboard'!$B$2:$F$21,4,FALSE)</f>
        <v>35</v>
      </c>
      <c r="F6" s="7">
        <f>VLOOKUP($B6,'[1]Scoreboard'!$B$2:$F$21,5,FALSE)</f>
        <v>24</v>
      </c>
      <c r="G6" s="7">
        <f t="shared" si="0"/>
        <v>125</v>
      </c>
    </row>
    <row r="7" spans="1:7" ht="12.75">
      <c r="A7" s="7">
        <f t="shared" si="1"/>
        <v>20</v>
      </c>
      <c r="B7" s="3" t="s">
        <v>36</v>
      </c>
      <c r="C7" s="7">
        <f>VLOOKUP(B7,'[1]Scoreboard'!$B$2:$F$21,2,FALSE)</f>
        <v>25</v>
      </c>
      <c r="D7" s="7">
        <f>VLOOKUP(B7,'[1]Scoreboard'!$B$2:$F$21,3,FALSE)</f>
        <v>29</v>
      </c>
      <c r="E7" s="7">
        <f>VLOOKUP(B7,'[1]Scoreboard'!$B$2:$F$21,4,FALSE)</f>
        <v>24</v>
      </c>
      <c r="F7" s="7">
        <f>VLOOKUP($B7,'[1]Scoreboard'!$B$2:$F$21,5,FALSE)</f>
        <v>26</v>
      </c>
      <c r="G7" s="7">
        <f t="shared" si="0"/>
        <v>104</v>
      </c>
    </row>
    <row r="8" spans="1:7" ht="12.75">
      <c r="A8" s="7">
        <f t="shared" si="1"/>
        <v>17</v>
      </c>
      <c r="B8" s="3" t="s">
        <v>7</v>
      </c>
      <c r="C8" s="7">
        <f>VLOOKUP(B8,'[1]Scoreboard'!$B$2:$F$21,2,FALSE)</f>
        <v>32</v>
      </c>
      <c r="D8" s="7">
        <f>VLOOKUP(B8,'[1]Scoreboard'!$B$2:$F$21,3,FALSE)</f>
        <v>25</v>
      </c>
      <c r="E8" s="7">
        <f>VLOOKUP(B8,'[1]Scoreboard'!$B$2:$F$21,4,FALSE)</f>
        <v>30</v>
      </c>
      <c r="F8" s="7">
        <f>VLOOKUP($B8,'[1]Scoreboard'!$B$2:$F$21,5,FALSE)</f>
        <v>26</v>
      </c>
      <c r="G8" s="7">
        <f t="shared" si="0"/>
        <v>113</v>
      </c>
    </row>
    <row r="9" spans="1:7" ht="12.75">
      <c r="A9" s="7">
        <f t="shared" si="1"/>
        <v>14</v>
      </c>
      <c r="B9" s="3" t="s">
        <v>5</v>
      </c>
      <c r="C9" s="7">
        <f>VLOOKUP(B9,'[1]Scoreboard'!$B$2:$F$21,2,FALSE)</f>
        <v>32</v>
      </c>
      <c r="D9" s="7">
        <f>VLOOKUP(B9,'[1]Scoreboard'!$B$2:$F$21,3,FALSE)</f>
        <v>36</v>
      </c>
      <c r="E9" s="7">
        <f>VLOOKUP(B9,'[1]Scoreboard'!$B$2:$F$21,4,FALSE)</f>
        <v>31</v>
      </c>
      <c r="F9" s="7">
        <f>VLOOKUP($B9,'[1]Scoreboard'!$B$2:$F$21,5,FALSE)</f>
        <v>18</v>
      </c>
      <c r="G9" s="7">
        <f t="shared" si="0"/>
        <v>117</v>
      </c>
    </row>
    <row r="10" spans="1:7" ht="12.75">
      <c r="A10" s="7">
        <f t="shared" si="1"/>
        <v>3</v>
      </c>
      <c r="B10" s="3" t="s">
        <v>50</v>
      </c>
      <c r="C10" s="7">
        <f>VLOOKUP(B10,'[1]Scoreboard'!$B$2:$F$21,2,FALSE)</f>
        <v>33</v>
      </c>
      <c r="D10" s="7">
        <f>VLOOKUP(B10,'[1]Scoreboard'!$B$2:$F$21,3,FALSE)</f>
        <v>37</v>
      </c>
      <c r="E10" s="7">
        <f>VLOOKUP(B10,'[1]Scoreboard'!$B$2:$F$21,4,FALSE)</f>
        <v>31</v>
      </c>
      <c r="F10" s="7">
        <f>VLOOKUP($B10,'[1]Scoreboard'!$B$2:$F$21,5,FALSE)</f>
        <v>30</v>
      </c>
      <c r="G10" s="7">
        <f t="shared" si="0"/>
        <v>131</v>
      </c>
    </row>
    <row r="11" spans="1:7" ht="12.75">
      <c r="A11" s="7">
        <f t="shared" si="1"/>
        <v>11</v>
      </c>
      <c r="B11" s="3" t="s">
        <v>4</v>
      </c>
      <c r="C11" s="7">
        <f>VLOOKUP(B11,'[1]Scoreboard'!$B$2:$F$21,2,FALSE)</f>
        <v>25</v>
      </c>
      <c r="D11" s="7">
        <f>VLOOKUP(B11,'[1]Scoreboard'!$B$2:$F$21,3,FALSE)</f>
        <v>31</v>
      </c>
      <c r="E11" s="7">
        <f>VLOOKUP(B11,'[1]Scoreboard'!$B$2:$F$21,4,FALSE)</f>
        <v>30</v>
      </c>
      <c r="F11" s="7">
        <f>VLOOKUP($B11,'[1]Scoreboard'!$B$2:$F$21,5,FALSE)</f>
        <v>33</v>
      </c>
      <c r="G11" s="7">
        <f t="shared" si="0"/>
        <v>119</v>
      </c>
    </row>
    <row r="12" spans="1:7" ht="12.75">
      <c r="A12" s="7">
        <f t="shared" si="1"/>
        <v>12</v>
      </c>
      <c r="B12" s="3" t="s">
        <v>52</v>
      </c>
      <c r="C12" s="7">
        <f>VLOOKUP(B12,'[1]Scoreboard'!$B$2:$F$21,2,FALSE)</f>
        <v>36</v>
      </c>
      <c r="D12" s="7">
        <f>VLOOKUP(B12,'[1]Scoreboard'!$B$2:$F$21,3,FALSE)</f>
        <v>32</v>
      </c>
      <c r="E12" s="7">
        <f>VLOOKUP(B12,'[1]Scoreboard'!$B$2:$F$21,4,FALSE)</f>
        <v>23</v>
      </c>
      <c r="F12" s="7">
        <f>VLOOKUP($B12,'[1]Scoreboard'!$B$2:$F$21,5,FALSE)</f>
        <v>27</v>
      </c>
      <c r="G12" s="7">
        <f t="shared" si="0"/>
        <v>118</v>
      </c>
    </row>
    <row r="13" spans="1:7" ht="12.75">
      <c r="A13" s="7">
        <f t="shared" si="1"/>
        <v>18</v>
      </c>
      <c r="B13" s="3" t="s">
        <v>105</v>
      </c>
      <c r="C13" s="7">
        <f>VLOOKUP(B13,'[1]Scoreboard'!$B$2:$F$21,2,FALSE)</f>
        <v>34</v>
      </c>
      <c r="D13" s="7">
        <f>VLOOKUP(B13,'[1]Scoreboard'!$B$2:$F$21,3,FALSE)</f>
        <v>26</v>
      </c>
      <c r="E13" s="7">
        <f>VLOOKUP(B13,'[1]Scoreboard'!$B$2:$F$21,4,FALSE)</f>
        <v>34</v>
      </c>
      <c r="F13" s="7">
        <f>VLOOKUP($B13,'[1]Scoreboard'!$B$2:$F$21,5,FALSE)</f>
        <v>17</v>
      </c>
      <c r="G13" s="7">
        <f t="shared" si="0"/>
        <v>111</v>
      </c>
    </row>
    <row r="14" spans="1:7" ht="12.75">
      <c r="A14" s="7">
        <f t="shared" si="1"/>
        <v>1</v>
      </c>
      <c r="B14" s="3" t="s">
        <v>2</v>
      </c>
      <c r="C14" s="7">
        <f>VLOOKUP(B14,'[1]Scoreboard'!$B$2:$F$21,2,FALSE)</f>
        <v>36</v>
      </c>
      <c r="D14" s="7">
        <f>VLOOKUP(B14,'[1]Scoreboard'!$B$2:$F$21,3,FALSE)</f>
        <v>38</v>
      </c>
      <c r="E14" s="7">
        <f>VLOOKUP(B14,'[1]Scoreboard'!$B$2:$F$21,4,FALSE)</f>
        <v>40</v>
      </c>
      <c r="F14" s="7">
        <f>VLOOKUP($B14,'[1]Scoreboard'!$B$2:$F$21,5,FALSE)</f>
        <v>23</v>
      </c>
      <c r="G14" s="7">
        <f t="shared" si="0"/>
        <v>137</v>
      </c>
    </row>
    <row r="15" spans="1:7" ht="12.75">
      <c r="A15" s="7">
        <f t="shared" si="1"/>
        <v>6</v>
      </c>
      <c r="B15" s="3" t="s">
        <v>8</v>
      </c>
      <c r="C15" s="7">
        <f>VLOOKUP(B15,'[1]Scoreboard'!$B$2:$F$21,2,FALSE)</f>
        <v>28</v>
      </c>
      <c r="D15" s="7">
        <f>VLOOKUP(B15,'[1]Scoreboard'!$B$2:$F$21,3,FALSE)</f>
        <v>34</v>
      </c>
      <c r="E15" s="7">
        <f>VLOOKUP(B15,'[1]Scoreboard'!$B$2:$F$21,4,FALSE)</f>
        <v>32</v>
      </c>
      <c r="F15" s="7">
        <f>VLOOKUP($B15,'[1]Scoreboard'!$B$2:$F$21,5,FALSE)</f>
        <v>31</v>
      </c>
      <c r="G15" s="7">
        <f t="shared" si="0"/>
        <v>125</v>
      </c>
    </row>
    <row r="16" spans="1:7" ht="12.75">
      <c r="A16" s="7">
        <f t="shared" si="1"/>
        <v>14</v>
      </c>
      <c r="B16" s="3" t="s">
        <v>51</v>
      </c>
      <c r="C16" s="7">
        <f>VLOOKUP(B16,'[1]Scoreboard'!$B$2:$F$21,2,FALSE)</f>
        <v>27</v>
      </c>
      <c r="D16" s="7">
        <f>VLOOKUP(B16,'[1]Scoreboard'!$B$2:$F$21,3,FALSE)</f>
        <v>34</v>
      </c>
      <c r="E16" s="7">
        <f>VLOOKUP(B16,'[1]Scoreboard'!$B$2:$F$21,4,FALSE)</f>
        <v>32</v>
      </c>
      <c r="F16" s="7">
        <f>VLOOKUP($B16,'[1]Scoreboard'!$B$2:$F$21,5,FALSE)</f>
        <v>24</v>
      </c>
      <c r="G16" s="7">
        <f t="shared" si="0"/>
        <v>117</v>
      </c>
    </row>
    <row r="17" spans="1:7" ht="12.75">
      <c r="A17" s="7">
        <f t="shared" si="1"/>
        <v>12</v>
      </c>
      <c r="B17" s="3" t="s">
        <v>0</v>
      </c>
      <c r="C17" s="7">
        <f>VLOOKUP(B17,'[1]Scoreboard'!$B$2:$F$21,2,FALSE)</f>
        <v>31</v>
      </c>
      <c r="D17" s="7">
        <f>VLOOKUP(B17,'[1]Scoreboard'!$B$2:$F$21,3,FALSE)</f>
        <v>25</v>
      </c>
      <c r="E17" s="7">
        <f>VLOOKUP(B17,'[1]Scoreboard'!$B$2:$F$21,4,FALSE)</f>
        <v>30</v>
      </c>
      <c r="F17" s="7">
        <f>VLOOKUP($B17,'[1]Scoreboard'!$B$2:$F$21,5,FALSE)</f>
        <v>32</v>
      </c>
      <c r="G17" s="7">
        <f t="shared" si="0"/>
        <v>118</v>
      </c>
    </row>
    <row r="18" spans="1:7" ht="12.75">
      <c r="A18" s="7">
        <f t="shared" si="1"/>
        <v>10</v>
      </c>
      <c r="B18" s="3" t="s">
        <v>49</v>
      </c>
      <c r="C18" s="7">
        <f>VLOOKUP(B18,'[1]Scoreboard'!$B$2:$F$21,2,FALSE)</f>
        <v>32</v>
      </c>
      <c r="D18" s="7">
        <f>VLOOKUP(B18,'[1]Scoreboard'!$B$2:$F$21,3,FALSE)</f>
        <v>38</v>
      </c>
      <c r="E18" s="7">
        <f>VLOOKUP(B18,'[1]Scoreboard'!$B$2:$F$21,4,FALSE)</f>
        <v>25</v>
      </c>
      <c r="F18" s="7">
        <f>VLOOKUP($B18,'[1]Scoreboard'!$B$2:$F$21,5,FALSE)</f>
        <v>26</v>
      </c>
      <c r="G18" s="7">
        <f t="shared" si="0"/>
        <v>121</v>
      </c>
    </row>
    <row r="19" spans="1:7" ht="12.75">
      <c r="A19" s="7">
        <f t="shared" si="1"/>
        <v>6</v>
      </c>
      <c r="B19" s="3" t="s">
        <v>1</v>
      </c>
      <c r="C19" s="7">
        <f>VLOOKUP(B19,'[1]Scoreboard'!$B$2:$F$21,2,FALSE)</f>
        <v>37</v>
      </c>
      <c r="D19" s="7">
        <f>VLOOKUP(B19,'[1]Scoreboard'!$B$2:$F$21,3,FALSE)</f>
        <v>32</v>
      </c>
      <c r="E19" s="7">
        <f>VLOOKUP(B19,'[1]Scoreboard'!$B$2:$F$21,4,FALSE)</f>
        <v>31</v>
      </c>
      <c r="F19" s="7">
        <f>VLOOKUP($B19,'[1]Scoreboard'!$B$2:$F$21,5,FALSE)</f>
        <v>25</v>
      </c>
      <c r="G19" s="7">
        <f t="shared" si="0"/>
        <v>125</v>
      </c>
    </row>
    <row r="20" spans="1:7" ht="12.75">
      <c r="A20" s="7">
        <f t="shared" si="1"/>
        <v>4</v>
      </c>
      <c r="B20" s="3" t="s">
        <v>55</v>
      </c>
      <c r="C20" s="7">
        <f>VLOOKUP(B20,'[1]Scoreboard'!$B$2:$F$21,2,FALSE)</f>
        <v>32</v>
      </c>
      <c r="D20" s="7">
        <f>VLOOKUP(B20,'[1]Scoreboard'!$B$2:$F$21,3,FALSE)</f>
        <v>41</v>
      </c>
      <c r="E20" s="7">
        <f>VLOOKUP(B20,'[1]Scoreboard'!$B$2:$F$21,4,FALSE)</f>
        <v>27</v>
      </c>
      <c r="F20" s="7">
        <f>VLOOKUP($B20,'[1]Scoreboard'!$B$2:$F$21,5,FALSE)</f>
        <v>27</v>
      </c>
      <c r="G20" s="7">
        <f t="shared" si="0"/>
        <v>127</v>
      </c>
    </row>
    <row r="21" spans="1:7" ht="12.75">
      <c r="A21" s="7">
        <f t="shared" si="1"/>
        <v>9</v>
      </c>
      <c r="B21" s="3" t="s">
        <v>58</v>
      </c>
      <c r="C21" s="7">
        <f>VLOOKUP(B21,'[1]Scoreboard'!$B$2:$F$21,2,FALSE)</f>
        <v>29</v>
      </c>
      <c r="D21" s="7">
        <f>VLOOKUP(B21,'[1]Scoreboard'!$B$2:$F$21,3,FALSE)</f>
        <v>31</v>
      </c>
      <c r="E21" s="7">
        <f>VLOOKUP(B21,'[1]Scoreboard'!$B$2:$F$21,4,FALSE)</f>
        <v>33</v>
      </c>
      <c r="F21" s="7">
        <f>VLOOKUP($B21,'[1]Scoreboard'!$B$2:$F$21,5,FALSE)</f>
        <v>29</v>
      </c>
      <c r="G21" s="7">
        <f t="shared" si="0"/>
        <v>122</v>
      </c>
    </row>
    <row r="22" spans="1:7" ht="12.75">
      <c r="A22" s="13"/>
      <c r="B22" s="2"/>
      <c r="C22" s="13"/>
      <c r="D22" s="13"/>
      <c r="E22" s="13"/>
      <c r="F22" s="13"/>
      <c r="G22" s="13"/>
    </row>
    <row r="23" ht="13.5" thickBot="1"/>
    <row r="24" spans="5:7" ht="18.75" customHeight="1" thickBot="1">
      <c r="E24" s="67" t="s">
        <v>15</v>
      </c>
      <c r="G24" s="48">
        <f>Scores!T42+Scores!S42/2</f>
        <v>12.5</v>
      </c>
    </row>
    <row r="25" spans="5:7" ht="19.5" customHeight="1" thickBot="1">
      <c r="E25" s="67" t="s">
        <v>38</v>
      </c>
      <c r="G25" s="49">
        <f>Scores!R42+Scores!S42/2</f>
        <v>12.5</v>
      </c>
    </row>
    <row r="26" spans="1:7" s="75" customFormat="1" ht="12.75">
      <c r="A26" s="76"/>
      <c r="C26" s="76"/>
      <c r="D26" s="76"/>
      <c r="E26" s="76"/>
      <c r="F26" s="76"/>
      <c r="G26" s="76"/>
    </row>
    <row r="27" spans="1:7" s="75" customFormat="1" ht="12.75">
      <c r="A27" s="76"/>
      <c r="B27" s="169" t="s">
        <v>38</v>
      </c>
      <c r="C27" s="87">
        <f>COUNTA(Scores!L4:L8)</f>
        <v>5</v>
      </c>
      <c r="D27" s="87">
        <f>COUNTA(Scores!L13:L17)</f>
        <v>5</v>
      </c>
      <c r="E27" s="87">
        <f>COUNTA(Scores!L22:L26)</f>
        <v>5</v>
      </c>
      <c r="F27" s="87">
        <f>COUNTA(Scores!I31:I40)</f>
        <v>10</v>
      </c>
      <c r="G27" s="76"/>
    </row>
    <row r="28" spans="1:7" s="75" customFormat="1" ht="12.75">
      <c r="A28" s="76"/>
      <c r="B28" s="169"/>
      <c r="C28" s="87">
        <f>COUNTA(Scores!M4:M8)/2</f>
        <v>2.5</v>
      </c>
      <c r="D28" s="87">
        <f>COUNTA(Scores!M13:M17)/2</f>
        <v>2.5</v>
      </c>
      <c r="E28" s="87">
        <f>COUNTA(Scores!M22:M26)/2</f>
        <v>2.5</v>
      </c>
      <c r="F28" s="87">
        <f>COUNTA(Scores!J31:J40)/2</f>
        <v>5</v>
      </c>
      <c r="G28" s="76"/>
    </row>
    <row r="29" spans="1:7" s="75" customFormat="1" ht="12.75">
      <c r="A29" s="76"/>
      <c r="B29" s="169" t="s">
        <v>15</v>
      </c>
      <c r="C29" s="87">
        <f>COUNTA(Scores!N4:N8)</f>
        <v>5</v>
      </c>
      <c r="D29" s="87">
        <f>COUNTA(Scores!N13:N17)</f>
        <v>5</v>
      </c>
      <c r="E29" s="87">
        <f>COUNTA(Scores!N22:N26)</f>
        <v>5</v>
      </c>
      <c r="F29" s="87">
        <f>COUNTA(Scores!K31:K40)</f>
        <v>10</v>
      </c>
      <c r="G29" s="76"/>
    </row>
    <row r="30" spans="1:7" s="75" customFormat="1" ht="12.75">
      <c r="A30" s="76"/>
      <c r="B30" s="169"/>
      <c r="C30" s="87">
        <f>C28</f>
        <v>2.5</v>
      </c>
      <c r="D30" s="87">
        <f>D28</f>
        <v>2.5</v>
      </c>
      <c r="E30" s="87">
        <f>E28</f>
        <v>2.5</v>
      </c>
      <c r="F30" s="87">
        <f>F28</f>
        <v>5</v>
      </c>
      <c r="G30" s="76"/>
    </row>
    <row r="31" spans="2:7" ht="12.75">
      <c r="B31" s="75"/>
      <c r="C31" s="76"/>
      <c r="D31" s="76"/>
      <c r="E31" s="76"/>
      <c r="F31" s="76"/>
      <c r="G31" s="76"/>
    </row>
    <row r="32" spans="2:7" ht="12.75">
      <c r="B32" s="75"/>
      <c r="C32" s="76"/>
      <c r="E32" s="76"/>
      <c r="F32" s="76"/>
      <c r="G32" s="76"/>
    </row>
    <row r="33" spans="2:7" ht="12.75">
      <c r="B33" s="75"/>
      <c r="C33" s="76"/>
      <c r="E33" s="76"/>
      <c r="F33" s="76"/>
      <c r="G33" s="76"/>
    </row>
    <row r="34" spans="2:7" ht="12.75">
      <c r="B34" s="75"/>
      <c r="C34" s="76"/>
      <c r="E34" s="88"/>
      <c r="F34" s="76"/>
      <c r="G34" s="76"/>
    </row>
    <row r="35" spans="2:7" ht="12.75">
      <c r="B35" s="75"/>
      <c r="C35" s="76"/>
      <c r="E35" s="76"/>
      <c r="F35" s="76"/>
      <c r="G35" s="76"/>
    </row>
    <row r="36" spans="3:4" ht="12.75">
      <c r="C36" s="89"/>
      <c r="D36" s="89"/>
    </row>
    <row r="37" spans="3:4" ht="12.75">
      <c r="C37" s="89"/>
      <c r="D37" s="89"/>
    </row>
    <row r="38" spans="3:4" ht="12.75">
      <c r="C38" s="89"/>
      <c r="D38" s="89"/>
    </row>
    <row r="39" spans="3:4" ht="12.75">
      <c r="C39" s="89"/>
      <c r="D39" s="89"/>
    </row>
    <row r="40" spans="3:4" ht="12.75">
      <c r="C40" s="89"/>
      <c r="D40" s="89"/>
    </row>
  </sheetData>
  <sheetProtection/>
  <autoFilter ref="A1:G17">
    <sortState ref="A2:G40">
      <sortCondition sortBy="value" ref="A2:A40"/>
    </sortState>
  </autoFilter>
  <mergeCells count="2">
    <mergeCell ref="B27:B28"/>
    <mergeCell ref="B29:B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8"/>
  <sheetViews>
    <sheetView zoomScale="130" zoomScaleNormal="130" zoomScalePageLayoutView="0" workbookViewId="0" topLeftCell="A1">
      <selection activeCell="A1" sqref="A1:J21"/>
    </sheetView>
  </sheetViews>
  <sheetFormatPr defaultColWidth="9.140625" defaultRowHeight="12.75"/>
  <cols>
    <col min="1" max="1" width="17.421875" style="0" customWidth="1"/>
    <col min="2" max="9" width="9.8515625" style="6" customWidth="1"/>
    <col min="10" max="10" width="9.8515625" style="0" bestFit="1" customWidth="1"/>
    <col min="11" max="15" width="9.8515625" style="106" customWidth="1"/>
    <col min="16" max="22" width="9.140625" style="6" customWidth="1"/>
    <col min="23" max="23" width="10.421875" style="6" customWidth="1"/>
    <col min="24" max="26" width="14.140625" style="6" customWidth="1"/>
    <col min="27" max="28" width="9.140625" style="6" customWidth="1"/>
    <col min="29" max="32" width="9.8515625" style="6" customWidth="1"/>
  </cols>
  <sheetData>
    <row r="1" spans="1:55" ht="39" customHeight="1">
      <c r="A1" s="64" t="s">
        <v>26</v>
      </c>
      <c r="B1" s="65" t="s">
        <v>43</v>
      </c>
      <c r="C1" s="65" t="s">
        <v>39</v>
      </c>
      <c r="D1" s="65" t="s">
        <v>44</v>
      </c>
      <c r="E1" s="65" t="s">
        <v>40</v>
      </c>
      <c r="F1" s="65" t="s">
        <v>45</v>
      </c>
      <c r="G1" s="65" t="s">
        <v>41</v>
      </c>
      <c r="H1" s="65" t="s">
        <v>46</v>
      </c>
      <c r="I1" s="65" t="s">
        <v>42</v>
      </c>
      <c r="J1" s="103" t="s">
        <v>57</v>
      </c>
      <c r="K1" s="104"/>
      <c r="L1" s="104"/>
      <c r="M1" s="104"/>
      <c r="N1" s="104"/>
      <c r="O1" s="104"/>
      <c r="P1" s="95" t="s">
        <v>67</v>
      </c>
      <c r="Q1" s="95" t="s">
        <v>110</v>
      </c>
      <c r="R1" s="95" t="s">
        <v>70</v>
      </c>
      <c r="S1" s="95" t="s">
        <v>71</v>
      </c>
      <c r="T1" s="95" t="s">
        <v>72</v>
      </c>
      <c r="U1" s="95" t="s">
        <v>73</v>
      </c>
      <c r="V1" s="95" t="s">
        <v>74</v>
      </c>
      <c r="W1" s="95" t="s">
        <v>75</v>
      </c>
      <c r="X1" s="95" t="s">
        <v>76</v>
      </c>
      <c r="Y1" s="95" t="s">
        <v>77</v>
      </c>
      <c r="Z1" s="96" t="s">
        <v>78</v>
      </c>
      <c r="AA1" s="96" t="s">
        <v>109</v>
      </c>
      <c r="AB1" s="96" t="s">
        <v>79</v>
      </c>
      <c r="AC1" s="96" t="s">
        <v>80</v>
      </c>
      <c r="AD1" s="96" t="s">
        <v>81</v>
      </c>
      <c r="AE1" s="96" t="s">
        <v>82</v>
      </c>
      <c r="AF1" s="96" t="s">
        <v>83</v>
      </c>
      <c r="AG1" s="96" t="s">
        <v>84</v>
      </c>
      <c r="AH1" s="96" t="s">
        <v>85</v>
      </c>
      <c r="AI1" s="96" t="s">
        <v>86</v>
      </c>
      <c r="AJ1" s="97" t="s">
        <v>87</v>
      </c>
      <c r="AK1" s="97" t="s">
        <v>108</v>
      </c>
      <c r="AL1" s="97" t="s">
        <v>88</v>
      </c>
      <c r="AM1" s="97" t="s">
        <v>89</v>
      </c>
      <c r="AN1" s="97" t="s">
        <v>90</v>
      </c>
      <c r="AO1" s="97" t="s">
        <v>91</v>
      </c>
      <c r="AP1" s="97" t="s">
        <v>92</v>
      </c>
      <c r="AQ1" s="97" t="s">
        <v>93</v>
      </c>
      <c r="AR1" s="97" t="s">
        <v>94</v>
      </c>
      <c r="AS1" s="97" t="s">
        <v>95</v>
      </c>
      <c r="AT1" s="98" t="s">
        <v>96</v>
      </c>
      <c r="AU1" s="98" t="s">
        <v>107</v>
      </c>
      <c r="AV1" s="98" t="s">
        <v>97</v>
      </c>
      <c r="AW1" s="98" t="s">
        <v>98</v>
      </c>
      <c r="AX1" s="98" t="s">
        <v>99</v>
      </c>
      <c r="AY1" s="98" t="s">
        <v>100</v>
      </c>
      <c r="AZ1" s="98" t="s">
        <v>101</v>
      </c>
      <c r="BA1" s="98" t="s">
        <v>102</v>
      </c>
      <c r="BB1" s="98" t="s">
        <v>103</v>
      </c>
      <c r="BC1" s="98" t="s">
        <v>104</v>
      </c>
    </row>
    <row r="2" spans="1:55" ht="12.75">
      <c r="A2" s="3" t="str">
        <f>Players!A2</f>
        <v>Adam Douglas</v>
      </c>
      <c r="B2" s="63">
        <f>Players!B2</f>
        <v>-1</v>
      </c>
      <c r="C2" s="7">
        <f>VLOOKUP($A2,Scoreboard!$B$1:$F$21,2,FALSE)</f>
        <v>36</v>
      </c>
      <c r="D2" s="115">
        <f aca="true" t="shared" si="0" ref="D2:D21">IF(P2=0,B2,(IF((B2+Y2)&gt;=28,28,(B2+Y2))))</f>
        <v>-1.5</v>
      </c>
      <c r="E2" s="7">
        <f>VLOOKUP($A2,Scoreboard!$B$1:$F$21,3,FALSE)</f>
        <v>32</v>
      </c>
      <c r="F2" s="115">
        <f>IF(Z2=0,D2,(IF((D2+AI2)&gt;=28,28,(D2+AI2))))</f>
        <v>-1</v>
      </c>
      <c r="G2" s="7">
        <f>VLOOKUP($A2,Scoreboard!$B$1:$F$21,4,FALSE)</f>
        <v>23</v>
      </c>
      <c r="H2" s="115">
        <f>IF(AJ2=0,F2,(IF((F2+AS2)&gt;=28,28,(F2+AS2))))</f>
        <v>1</v>
      </c>
      <c r="I2" s="7">
        <f>VLOOKUP($A2,Scoreboard!$B$1:$F$21,5,FALSE)</f>
        <v>27</v>
      </c>
      <c r="J2" s="115">
        <f>IF(AT2=0,H2,IF((H2+BC2)&gt;=28,28,(H2+BC2)))</f>
        <v>2</v>
      </c>
      <c r="K2" s="105"/>
      <c r="L2" s="105"/>
      <c r="M2" s="105"/>
      <c r="N2" s="105"/>
      <c r="O2" s="105"/>
      <c r="P2" s="99">
        <f>IF($C2=0,0,1)</f>
        <v>1</v>
      </c>
      <c r="Q2" s="99">
        <f>IF($C2=$C$28,1,0)</f>
        <v>0</v>
      </c>
      <c r="R2" s="99">
        <f>IF(ISERROR(Winners!$H17=1),0,IF(Winners!$H17=1,-2,0))</f>
        <v>0</v>
      </c>
      <c r="S2" s="99">
        <f>IF(ISERROR(Winners!$H17=2),0,IF(Winners!$H17=2,-1,0))</f>
        <v>0</v>
      </c>
      <c r="T2" s="99">
        <f>IF(ISERROR(Winners!$H17=3),0,IF(Winners!$H17=3,-0.5,0))</f>
        <v>-0.5</v>
      </c>
      <c r="U2" s="99">
        <f>IF(AND($C2&gt;=28,$C2&lt;=32),0.5,0)</f>
        <v>0</v>
      </c>
      <c r="V2" s="99">
        <f>IF(AND($C2&gt;=21,$C2&lt;=27),1,0)</f>
        <v>0</v>
      </c>
      <c r="W2" s="99">
        <f>IF($C2&lt;=20,2,0)</f>
        <v>0</v>
      </c>
      <c r="X2" s="99">
        <f>IF($C2&gt;36,($C2-36)*-0.5,0)</f>
        <v>0</v>
      </c>
      <c r="Y2" s="99">
        <f>SUM(Q2:X2)</f>
        <v>-0.5</v>
      </c>
      <c r="Z2" s="100">
        <f>IF($E2=0,0,1)</f>
        <v>1</v>
      </c>
      <c r="AA2" s="100">
        <f>IF($E2=$E$28,1,0)</f>
        <v>0</v>
      </c>
      <c r="AB2" s="100">
        <f>IF(ISERROR(Winners!$H39=1),0,IF(Winners!$H39=1,-2,0))</f>
        <v>0</v>
      </c>
      <c r="AC2" s="100">
        <f>IF(ISERROR(Winners!$H39=2),0,IF(Winners!$H39=2,-1,0))</f>
        <v>0</v>
      </c>
      <c r="AD2" s="100">
        <f>IF(ISERROR(Winners!$H39=3),0,IF(Winners!$H39=3,-0.5,0))</f>
        <v>0</v>
      </c>
      <c r="AE2" s="100">
        <f aca="true" t="shared" si="1" ref="AE2:AE21">IF(AND($E2&gt;=28,$E2&lt;=32),0.5,0)</f>
        <v>0.5</v>
      </c>
      <c r="AF2" s="100">
        <f aca="true" t="shared" si="2" ref="AF2:AF21">IF(AND($E2&gt;=21,$E2&lt;=27),1,0)</f>
        <v>0</v>
      </c>
      <c r="AG2" s="100">
        <f aca="true" t="shared" si="3" ref="AG2:AG21">IF($E2&lt;=20,2,0)</f>
        <v>0</v>
      </c>
      <c r="AH2" s="100">
        <f>IF($E2&gt;36,($E2-36)*-0.5,0)</f>
        <v>0</v>
      </c>
      <c r="AI2" s="100">
        <f>SUM(AA2:AH2)</f>
        <v>0.5</v>
      </c>
      <c r="AJ2" s="101">
        <f aca="true" t="shared" si="4" ref="AJ2:AJ21">IF($G2=0,0,1)</f>
        <v>1</v>
      </c>
      <c r="AK2" s="101">
        <f>IF($G2=$G$28,1,0)</f>
        <v>1</v>
      </c>
      <c r="AL2" s="101">
        <f>IF(ISERROR(Winners!$H61=1),0,IF(Winners!$H61=1,-2,0))</f>
        <v>0</v>
      </c>
      <c r="AM2" s="101">
        <f>IF(ISERROR(Winners!$H61=2),0,IF(Winners!$H61=2,-1,0))</f>
        <v>0</v>
      </c>
      <c r="AN2" s="101">
        <f>IF(ISERROR(Winners!$H61=3),0,IF(Winners!$H61=3,-0.5,0))</f>
        <v>0</v>
      </c>
      <c r="AO2" s="101">
        <f aca="true" t="shared" si="5" ref="AO2:AO21">IF(AND($G2&gt;=28,$G2&lt;=32),0.5,0)</f>
        <v>0</v>
      </c>
      <c r="AP2" s="101">
        <f aca="true" t="shared" si="6" ref="AP2:AP21">IF(AND($G2&gt;=21,$G2&lt;=27),1,0)</f>
        <v>1</v>
      </c>
      <c r="AQ2" s="101">
        <f aca="true" t="shared" si="7" ref="AQ2:AQ21">IF($G2&lt;=20,2,0)</f>
        <v>0</v>
      </c>
      <c r="AR2" s="101">
        <f>IF($G2&gt;36,($G2-36)*-0.5,0)</f>
        <v>0</v>
      </c>
      <c r="AS2" s="101">
        <f>SUM(AK2:AR2)</f>
        <v>2</v>
      </c>
      <c r="AT2" s="102">
        <f aca="true" t="shared" si="8" ref="AT2:AT21">IF($I2=0,0,1)</f>
        <v>1</v>
      </c>
      <c r="AU2" s="102">
        <f>IF($I2=$I$28,1,0)</f>
        <v>0</v>
      </c>
      <c r="AV2" s="102">
        <f>IF(ISERROR(Winners!$H83=1),0,IF(Winners!$H83=1,-2,0))</f>
        <v>0</v>
      </c>
      <c r="AW2" s="102">
        <f>IF(ISERROR(Winners!$H83=2),0,IF(Winners!$H83=2,-1,0))</f>
        <v>0</v>
      </c>
      <c r="AX2" s="102">
        <f>IF(ISERROR(Winners!$H83=3),0,IF(Winners!$H83=3,-0.5,0))</f>
        <v>0</v>
      </c>
      <c r="AY2" s="102">
        <f aca="true" t="shared" si="9" ref="AY2:AY21">IF(AND($I2&gt;=28,$I2&lt;=32),0.5,0)</f>
        <v>0</v>
      </c>
      <c r="AZ2" s="102">
        <f aca="true" t="shared" si="10" ref="AZ2:AZ21">IF(AND($I2&gt;=21,$I2&lt;=27),1,0)</f>
        <v>1</v>
      </c>
      <c r="BA2" s="102">
        <f aca="true" t="shared" si="11" ref="BA2:BA21">IF($I2&lt;=20,2,0)</f>
        <v>0</v>
      </c>
      <c r="BB2" s="102">
        <f>IF($I2&gt;36,($I2-36)*-0.5,0)</f>
        <v>0</v>
      </c>
      <c r="BC2" s="102">
        <f>SUM(AU2:BB2)</f>
        <v>1</v>
      </c>
    </row>
    <row r="3" spans="1:55" ht="12.75">
      <c r="A3" s="3" t="str">
        <f>Players!A3</f>
        <v>Marc Talbot</v>
      </c>
      <c r="B3" s="63">
        <f>Players!B3</f>
        <v>18</v>
      </c>
      <c r="C3" s="7">
        <f>VLOOKUP($A3,Scoreboard!$B$1:$F$21,2,FALSE)</f>
        <v>34</v>
      </c>
      <c r="D3" s="115">
        <f t="shared" si="0"/>
        <v>18</v>
      </c>
      <c r="E3" s="7">
        <f>VLOOKUP($A3,Scoreboard!$B$1:$F$21,3,FALSE)</f>
        <v>26</v>
      </c>
      <c r="F3" s="115">
        <f aca="true" t="shared" si="12" ref="F3:F21">IF(Z3=0,D3,(IF((D3+AI3)&gt;=28,28,(D3+AI3))))</f>
        <v>19</v>
      </c>
      <c r="G3" s="7">
        <f>VLOOKUP($A3,Scoreboard!$B$1:$F$21,4,FALSE)</f>
        <v>34</v>
      </c>
      <c r="H3" s="115">
        <f aca="true" t="shared" si="13" ref="H3:H21">IF(AJ3=0,F3,(IF((F3+AS3)&gt;=28,28,(F3+AS3))))</f>
        <v>19</v>
      </c>
      <c r="I3" s="7">
        <f>VLOOKUP($A3,Scoreboard!$B$1:$F$21,5,FALSE)</f>
        <v>17</v>
      </c>
      <c r="J3" s="115">
        <f aca="true" t="shared" si="14" ref="J3:J21">IF(AT3=0,H3,IF((H3+BC3)&gt;=28,28,(H3+BC3)))</f>
        <v>22</v>
      </c>
      <c r="K3" s="105"/>
      <c r="L3" s="105"/>
      <c r="M3" s="105"/>
      <c r="N3" s="105"/>
      <c r="O3" s="105"/>
      <c r="P3" s="99">
        <f aca="true" t="shared" si="15" ref="P3:P21">IF($C3=0,0,1)</f>
        <v>1</v>
      </c>
      <c r="Q3" s="99">
        <f aca="true" t="shared" si="16" ref="Q3:Q21">IF($C3=$C$28,1,0)</f>
        <v>0</v>
      </c>
      <c r="R3" s="99">
        <f>IF(ISERROR(Winners!$H18=1),0,IF(Winners!$H18=1,-2,0))</f>
        <v>0</v>
      </c>
      <c r="S3" s="99">
        <f>IF(ISERROR(Winners!$H18=2),0,IF(Winners!$H18=2,-1,0))</f>
        <v>0</v>
      </c>
      <c r="T3" s="99">
        <f>IF(ISERROR(Winners!$H18=3),0,IF(Winners!$H18=3,-0.5,0))</f>
        <v>0</v>
      </c>
      <c r="U3" s="99">
        <f aca="true" t="shared" si="17" ref="U3:U21">IF(AND($C3&gt;=28,$C3&lt;=32),0.5,0)</f>
        <v>0</v>
      </c>
      <c r="V3" s="99">
        <f aca="true" t="shared" si="18" ref="V3:V21">IF(AND($C3&gt;=21,$C3&lt;=27),1,0)</f>
        <v>0</v>
      </c>
      <c r="W3" s="99">
        <f aca="true" t="shared" si="19" ref="W3:W21">IF($C3&lt;=20,2,0)</f>
        <v>0</v>
      </c>
      <c r="X3" s="99">
        <f aca="true" t="shared" si="20" ref="X3:X21">IF($C3&gt;36,($C3-36)*-0.5,0)</f>
        <v>0</v>
      </c>
      <c r="Y3" s="99">
        <f aca="true" t="shared" si="21" ref="Y3:Y21">SUM(Q3:X3)</f>
        <v>0</v>
      </c>
      <c r="Z3" s="100">
        <f aca="true" t="shared" si="22" ref="Z3:Z21">IF($E3=0,0,1)</f>
        <v>1</v>
      </c>
      <c r="AA3" s="100">
        <f aca="true" t="shared" si="23" ref="AA3:AA21">IF($E3=$E$28,1,0)</f>
        <v>0</v>
      </c>
      <c r="AB3" s="100">
        <f>IF(ISERROR(Winners!$H40=1),0,IF(Winners!$H40=1,-2,0))</f>
        <v>0</v>
      </c>
      <c r="AC3" s="100">
        <f>IF(ISERROR(Winners!$H40=2),0,IF(Winners!$H40=2,-1,0))</f>
        <v>0</v>
      </c>
      <c r="AD3" s="100">
        <f>IF(ISERROR(Winners!$H40=3),0,IF(Winners!$H40=3,-0.5,0))</f>
        <v>0</v>
      </c>
      <c r="AE3" s="100">
        <f t="shared" si="1"/>
        <v>0</v>
      </c>
      <c r="AF3" s="100">
        <f t="shared" si="2"/>
        <v>1</v>
      </c>
      <c r="AG3" s="100">
        <f t="shared" si="3"/>
        <v>0</v>
      </c>
      <c r="AH3" s="100">
        <f aca="true" t="shared" si="24" ref="AH3:AH21">IF($E3&gt;36,($E3-36)*-0.5,0)</f>
        <v>0</v>
      </c>
      <c r="AI3" s="100">
        <f aca="true" t="shared" si="25" ref="AI3:AI21">SUM(AA3:AH3)</f>
        <v>1</v>
      </c>
      <c r="AJ3" s="101">
        <f t="shared" si="4"/>
        <v>1</v>
      </c>
      <c r="AK3" s="101">
        <f aca="true" t="shared" si="26" ref="AK3:AK21">IF($G3=$G$28,1,0)</f>
        <v>0</v>
      </c>
      <c r="AL3" s="101">
        <f>IF(ISERROR(Winners!$H62=1),0,IF(Winners!$H62=1,-2,0))</f>
        <v>0</v>
      </c>
      <c r="AM3" s="101">
        <f>IF(ISERROR(Winners!$H62=2),0,IF(Winners!$H62=2,-1,0))</f>
        <v>0</v>
      </c>
      <c r="AN3" s="101">
        <f>IF(ISERROR(Winners!$H62=3),0,IF(Winners!$H62=3,-0.5,0))</f>
        <v>0</v>
      </c>
      <c r="AO3" s="101">
        <f t="shared" si="5"/>
        <v>0</v>
      </c>
      <c r="AP3" s="101">
        <f t="shared" si="6"/>
        <v>0</v>
      </c>
      <c r="AQ3" s="101">
        <f t="shared" si="7"/>
        <v>0</v>
      </c>
      <c r="AR3" s="101">
        <f aca="true" t="shared" si="27" ref="AR3:AR21">IF($G3&gt;36,($G3-36)*-0.5,0)</f>
        <v>0</v>
      </c>
      <c r="AS3" s="101">
        <f aca="true" t="shared" si="28" ref="AS3:AS21">SUM(AK3:AR3)</f>
        <v>0</v>
      </c>
      <c r="AT3" s="102">
        <f t="shared" si="8"/>
        <v>1</v>
      </c>
      <c r="AU3" s="102">
        <f aca="true" t="shared" si="29" ref="AU3:AU21">IF($I3=$I$28,1,0)</f>
        <v>1</v>
      </c>
      <c r="AV3" s="102">
        <f>IF(ISERROR(Winners!$H84=1),0,IF(Winners!$H84=1,-2,0))</f>
        <v>0</v>
      </c>
      <c r="AW3" s="102">
        <f>IF(ISERROR(Winners!$H84=2),0,IF(Winners!$H84=2,-1,0))</f>
        <v>0</v>
      </c>
      <c r="AX3" s="102">
        <f>IF(ISERROR(Winners!$H84=3),0,IF(Winners!$H84=3,-0.5,0))</f>
        <v>0</v>
      </c>
      <c r="AY3" s="102">
        <f t="shared" si="9"/>
        <v>0</v>
      </c>
      <c r="AZ3" s="102">
        <f t="shared" si="10"/>
        <v>0</v>
      </c>
      <c r="BA3" s="102">
        <f t="shared" si="11"/>
        <v>2</v>
      </c>
      <c r="BB3" s="102">
        <f aca="true" t="shared" si="30" ref="BB3:BB21">IF($I3&gt;36,($I3-36)*-0.5,0)</f>
        <v>0</v>
      </c>
      <c r="BC3" s="102">
        <f aca="true" t="shared" si="31" ref="BC3:BC21">SUM(AU3:BB3)</f>
        <v>3</v>
      </c>
    </row>
    <row r="4" spans="1:55" ht="12.75">
      <c r="A4" s="3" t="str">
        <f>Players!A4</f>
        <v>Tony Chapman</v>
      </c>
      <c r="B4" s="63">
        <f>Players!B4</f>
        <v>24</v>
      </c>
      <c r="C4" s="7">
        <f>VLOOKUP($A4,Scoreboard!$B$1:$F$21,2,FALSE)</f>
        <v>36</v>
      </c>
      <c r="D4" s="115">
        <f t="shared" si="0"/>
        <v>23</v>
      </c>
      <c r="E4" s="7">
        <f>VLOOKUP($A4,Scoreboard!$B$1:$F$21,3,FALSE)</f>
        <v>38</v>
      </c>
      <c r="F4" s="115">
        <f t="shared" si="12"/>
        <v>21.5</v>
      </c>
      <c r="G4" s="7">
        <f>VLOOKUP($A4,Scoreboard!$B$1:$F$21,4,FALSE)</f>
        <v>40</v>
      </c>
      <c r="H4" s="115">
        <f t="shared" si="13"/>
        <v>17.5</v>
      </c>
      <c r="I4" s="7">
        <f>VLOOKUP($A4,Scoreboard!$B$1:$F$21,5,FALSE)</f>
        <v>23</v>
      </c>
      <c r="J4" s="115">
        <f t="shared" si="14"/>
        <v>18.5</v>
      </c>
      <c r="K4" s="105"/>
      <c r="L4" s="105"/>
      <c r="M4" s="105"/>
      <c r="N4" s="105"/>
      <c r="O4" s="105"/>
      <c r="P4" s="99">
        <f t="shared" si="15"/>
        <v>1</v>
      </c>
      <c r="Q4" s="99">
        <f t="shared" si="16"/>
        <v>0</v>
      </c>
      <c r="R4" s="99">
        <f>IF(ISERROR(Winners!$H19=1),0,IF(Winners!$H19=1,-2,0))</f>
        <v>0</v>
      </c>
      <c r="S4" s="99">
        <f>IF(ISERROR(Winners!$H19=2),0,IF(Winners!$H19=2,-1,0))</f>
        <v>-1</v>
      </c>
      <c r="T4" s="99">
        <f>IF(ISERROR(Winners!$H19=3),0,IF(Winners!$H19=3,-0.5,0))</f>
        <v>0</v>
      </c>
      <c r="U4" s="99">
        <f t="shared" si="17"/>
        <v>0</v>
      </c>
      <c r="V4" s="99">
        <f t="shared" si="18"/>
        <v>0</v>
      </c>
      <c r="W4" s="99">
        <f t="shared" si="19"/>
        <v>0</v>
      </c>
      <c r="X4" s="99">
        <f t="shared" si="20"/>
        <v>0</v>
      </c>
      <c r="Y4" s="99">
        <f t="shared" si="21"/>
        <v>-1</v>
      </c>
      <c r="Z4" s="100">
        <f t="shared" si="22"/>
        <v>1</v>
      </c>
      <c r="AA4" s="100">
        <f t="shared" si="23"/>
        <v>0</v>
      </c>
      <c r="AB4" s="100">
        <f>IF(ISERROR(Winners!$H41=1),0,IF(Winners!$H41=1,-2,0))</f>
        <v>0</v>
      </c>
      <c r="AC4" s="100">
        <f>IF(ISERROR(Winners!$H41=2),0,IF(Winners!$H41=2,-1,0))</f>
        <v>0</v>
      </c>
      <c r="AD4" s="100">
        <f>IF(ISERROR(Winners!$H41=3),0,IF(Winners!$H41=3,-0.5,0))</f>
        <v>-0.5</v>
      </c>
      <c r="AE4" s="100">
        <f t="shared" si="1"/>
        <v>0</v>
      </c>
      <c r="AF4" s="100">
        <f t="shared" si="2"/>
        <v>0</v>
      </c>
      <c r="AG4" s="100">
        <f t="shared" si="3"/>
        <v>0</v>
      </c>
      <c r="AH4" s="100">
        <f t="shared" si="24"/>
        <v>-1</v>
      </c>
      <c r="AI4" s="100">
        <f t="shared" si="25"/>
        <v>-1.5</v>
      </c>
      <c r="AJ4" s="101">
        <f t="shared" si="4"/>
        <v>1</v>
      </c>
      <c r="AK4" s="101">
        <f t="shared" si="26"/>
        <v>0</v>
      </c>
      <c r="AL4" s="101">
        <f>IF(ISERROR(Winners!$H63=1),0,IF(Winners!$H63=1,-2,0))</f>
        <v>-2</v>
      </c>
      <c r="AM4" s="101">
        <f>IF(ISERROR(Winners!$H63=2),0,IF(Winners!$H63=2,-1,0))</f>
        <v>0</v>
      </c>
      <c r="AN4" s="101">
        <f>IF(ISERROR(Winners!$H63=3),0,IF(Winners!$H63=3,-0.5,0))</f>
        <v>0</v>
      </c>
      <c r="AO4" s="101">
        <f t="shared" si="5"/>
        <v>0</v>
      </c>
      <c r="AP4" s="101">
        <f t="shared" si="6"/>
        <v>0</v>
      </c>
      <c r="AQ4" s="101">
        <f t="shared" si="7"/>
        <v>0</v>
      </c>
      <c r="AR4" s="101">
        <f t="shared" si="27"/>
        <v>-2</v>
      </c>
      <c r="AS4" s="101">
        <f t="shared" si="28"/>
        <v>-4</v>
      </c>
      <c r="AT4" s="102">
        <f t="shared" si="8"/>
        <v>1</v>
      </c>
      <c r="AU4" s="102">
        <f t="shared" si="29"/>
        <v>0</v>
      </c>
      <c r="AV4" s="102">
        <f>IF(ISERROR(Winners!$H85=1),0,IF(Winners!$H85=1,-2,0))</f>
        <v>0</v>
      </c>
      <c r="AW4" s="102">
        <f>IF(ISERROR(Winners!$H85=2),0,IF(Winners!$H85=2,-1,0))</f>
        <v>0</v>
      </c>
      <c r="AX4" s="102">
        <f>IF(ISERROR(Winners!$H85=3),0,IF(Winners!$H85=3,-0.5,0))</f>
        <v>0</v>
      </c>
      <c r="AY4" s="102">
        <f t="shared" si="9"/>
        <v>0</v>
      </c>
      <c r="AZ4" s="102">
        <f t="shared" si="10"/>
        <v>1</v>
      </c>
      <c r="BA4" s="102">
        <f t="shared" si="11"/>
        <v>0</v>
      </c>
      <c r="BB4" s="102">
        <f t="shared" si="30"/>
        <v>0</v>
      </c>
      <c r="BC4" s="102">
        <f t="shared" si="31"/>
        <v>1</v>
      </c>
    </row>
    <row r="5" spans="1:55" ht="12.75">
      <c r="A5" s="3" t="str">
        <f>Players!A5</f>
        <v>Daniel Nash</v>
      </c>
      <c r="B5" s="63">
        <f>Players!B5</f>
        <v>28</v>
      </c>
      <c r="C5" s="7">
        <f>VLOOKUP($A5,Scoreboard!$B$1:$F$21,2,FALSE)</f>
        <v>28</v>
      </c>
      <c r="D5" s="115">
        <f t="shared" si="0"/>
        <v>28</v>
      </c>
      <c r="E5" s="7">
        <f>VLOOKUP($A5,Scoreboard!$B$1:$F$21,3,FALSE)</f>
        <v>34</v>
      </c>
      <c r="F5" s="115">
        <f t="shared" si="12"/>
        <v>28</v>
      </c>
      <c r="G5" s="7">
        <f>VLOOKUP($A5,Scoreboard!$B$1:$F$21,4,FALSE)</f>
        <v>32</v>
      </c>
      <c r="H5" s="115">
        <f t="shared" si="13"/>
        <v>28</v>
      </c>
      <c r="I5" s="7">
        <f>VLOOKUP($A5,Scoreboard!$B$1:$F$21,5,FALSE)</f>
        <v>31</v>
      </c>
      <c r="J5" s="115">
        <f t="shared" si="14"/>
        <v>28</v>
      </c>
      <c r="K5" s="105"/>
      <c r="L5" s="105"/>
      <c r="M5" s="105"/>
      <c r="N5" s="105"/>
      <c r="O5" s="105"/>
      <c r="P5" s="99">
        <f t="shared" si="15"/>
        <v>1</v>
      </c>
      <c r="Q5" s="99">
        <f t="shared" si="16"/>
        <v>0</v>
      </c>
      <c r="R5" s="99">
        <f>IF(ISERROR(Winners!$H20=1),0,IF(Winners!$H20=1,-2,0))</f>
        <v>0</v>
      </c>
      <c r="S5" s="99">
        <f>IF(ISERROR(Winners!$H20=2),0,IF(Winners!$H20=2,-1,0))</f>
        <v>0</v>
      </c>
      <c r="T5" s="99">
        <f>IF(ISERROR(Winners!$H20=3),0,IF(Winners!$H20=3,-0.5,0))</f>
        <v>0</v>
      </c>
      <c r="U5" s="99">
        <f t="shared" si="17"/>
        <v>0.5</v>
      </c>
      <c r="V5" s="99">
        <f t="shared" si="18"/>
        <v>0</v>
      </c>
      <c r="W5" s="99">
        <f t="shared" si="19"/>
        <v>0</v>
      </c>
      <c r="X5" s="99">
        <f t="shared" si="20"/>
        <v>0</v>
      </c>
      <c r="Y5" s="99">
        <f t="shared" si="21"/>
        <v>0.5</v>
      </c>
      <c r="Z5" s="100">
        <f t="shared" si="22"/>
        <v>1</v>
      </c>
      <c r="AA5" s="100">
        <f t="shared" si="23"/>
        <v>0</v>
      </c>
      <c r="AB5" s="100">
        <f>IF(ISERROR(Winners!$H42=1),0,IF(Winners!$H42=1,-2,0))</f>
        <v>0</v>
      </c>
      <c r="AC5" s="100">
        <f>IF(ISERROR(Winners!$H42=2),0,IF(Winners!$H42=2,-1,0))</f>
        <v>0</v>
      </c>
      <c r="AD5" s="100">
        <f>IF(ISERROR(Winners!$H42=3),0,IF(Winners!$H42=3,-0.5,0))</f>
        <v>0</v>
      </c>
      <c r="AE5" s="100">
        <f t="shared" si="1"/>
        <v>0</v>
      </c>
      <c r="AF5" s="100">
        <f t="shared" si="2"/>
        <v>0</v>
      </c>
      <c r="AG5" s="100">
        <f t="shared" si="3"/>
        <v>0</v>
      </c>
      <c r="AH5" s="100">
        <f t="shared" si="24"/>
        <v>0</v>
      </c>
      <c r="AI5" s="100">
        <f t="shared" si="25"/>
        <v>0</v>
      </c>
      <c r="AJ5" s="101">
        <f t="shared" si="4"/>
        <v>1</v>
      </c>
      <c r="AK5" s="101">
        <f t="shared" si="26"/>
        <v>0</v>
      </c>
      <c r="AL5" s="101">
        <f>IF(ISERROR(Winners!$H64=1),0,IF(Winners!$H64=1,-2,0))</f>
        <v>0</v>
      </c>
      <c r="AM5" s="101">
        <f>IF(ISERROR(Winners!$H64=2),0,IF(Winners!$H64=2,-1,0))</f>
        <v>0</v>
      </c>
      <c r="AN5" s="101">
        <f>IF(ISERROR(Winners!$H64=3),0,IF(Winners!$H64=3,-0.5,0))</f>
        <v>0</v>
      </c>
      <c r="AO5" s="101">
        <f t="shared" si="5"/>
        <v>0.5</v>
      </c>
      <c r="AP5" s="101">
        <f t="shared" si="6"/>
        <v>0</v>
      </c>
      <c r="AQ5" s="101">
        <f t="shared" si="7"/>
        <v>0</v>
      </c>
      <c r="AR5" s="101">
        <f t="shared" si="27"/>
        <v>0</v>
      </c>
      <c r="AS5" s="101">
        <f t="shared" si="28"/>
        <v>0.5</v>
      </c>
      <c r="AT5" s="102">
        <f t="shared" si="8"/>
        <v>1</v>
      </c>
      <c r="AU5" s="102">
        <f t="shared" si="29"/>
        <v>0</v>
      </c>
      <c r="AV5" s="102">
        <f>IF(ISERROR(Winners!$H86=1),0,IF(Winners!$H86=1,-2,0))</f>
        <v>0</v>
      </c>
      <c r="AW5" s="102">
        <f>IF(ISERROR(Winners!$H86=2),0,IF(Winners!$H86=2,-1,0))</f>
        <v>0</v>
      </c>
      <c r="AX5" s="102">
        <f>IF(ISERROR(Winners!$H86=3),0,IF(Winners!$H86=3,-0.5,0))</f>
        <v>0</v>
      </c>
      <c r="AY5" s="102">
        <f t="shared" si="9"/>
        <v>0.5</v>
      </c>
      <c r="AZ5" s="102">
        <f t="shared" si="10"/>
        <v>0</v>
      </c>
      <c r="BA5" s="102">
        <f t="shared" si="11"/>
        <v>0</v>
      </c>
      <c r="BB5" s="102">
        <f t="shared" si="30"/>
        <v>0</v>
      </c>
      <c r="BC5" s="102">
        <f t="shared" si="31"/>
        <v>0.5</v>
      </c>
    </row>
    <row r="6" spans="1:55" ht="12.75">
      <c r="A6" s="3" t="str">
        <f>Players!A6</f>
        <v>James Douglas</v>
      </c>
      <c r="B6" s="63">
        <f>Players!B6</f>
        <v>6</v>
      </c>
      <c r="C6" s="7">
        <f>VLOOKUP($A6,Scoreboard!$B$1:$F$21,2,FALSE)</f>
        <v>27</v>
      </c>
      <c r="D6" s="115">
        <f t="shared" si="0"/>
        <v>7</v>
      </c>
      <c r="E6" s="7">
        <f>VLOOKUP($A6,Scoreboard!$B$1:$F$21,3,FALSE)</f>
        <v>34</v>
      </c>
      <c r="F6" s="115">
        <f t="shared" si="12"/>
        <v>7</v>
      </c>
      <c r="G6" s="7">
        <f>VLOOKUP($A6,Scoreboard!$B$1:$F$21,4,FALSE)</f>
        <v>32</v>
      </c>
      <c r="H6" s="115">
        <f t="shared" si="13"/>
        <v>7.5</v>
      </c>
      <c r="I6" s="7">
        <f>VLOOKUP($A6,Scoreboard!$B$1:$F$21,5,FALSE)</f>
        <v>24</v>
      </c>
      <c r="J6" s="115">
        <f t="shared" si="14"/>
        <v>8.5</v>
      </c>
      <c r="K6" s="105"/>
      <c r="L6" s="105"/>
      <c r="M6" s="105"/>
      <c r="N6" s="105"/>
      <c r="O6" s="105"/>
      <c r="P6" s="99">
        <f t="shared" si="15"/>
        <v>1</v>
      </c>
      <c r="Q6" s="99">
        <f t="shared" si="16"/>
        <v>0</v>
      </c>
      <c r="R6" s="99">
        <f>IF(ISERROR(Winners!$H21=1),0,IF(Winners!$H21=1,-2,0))</f>
        <v>0</v>
      </c>
      <c r="S6" s="99">
        <f>IF(ISERROR(Winners!$H21=2),0,IF(Winners!$H21=2,-1,0))</f>
        <v>0</v>
      </c>
      <c r="T6" s="99">
        <f>IF(ISERROR(Winners!$H21=3),0,IF(Winners!$H21=3,-0.5,0))</f>
        <v>0</v>
      </c>
      <c r="U6" s="99">
        <f t="shared" si="17"/>
        <v>0</v>
      </c>
      <c r="V6" s="99">
        <f t="shared" si="18"/>
        <v>1</v>
      </c>
      <c r="W6" s="99">
        <f t="shared" si="19"/>
        <v>0</v>
      </c>
      <c r="X6" s="99">
        <f t="shared" si="20"/>
        <v>0</v>
      </c>
      <c r="Y6" s="99">
        <f t="shared" si="21"/>
        <v>1</v>
      </c>
      <c r="Z6" s="100">
        <f t="shared" si="22"/>
        <v>1</v>
      </c>
      <c r="AA6" s="100">
        <f t="shared" si="23"/>
        <v>0</v>
      </c>
      <c r="AB6" s="100">
        <f>IF(ISERROR(Winners!$H43=1),0,IF(Winners!$H43=1,-2,0))</f>
        <v>0</v>
      </c>
      <c r="AC6" s="100">
        <f>IF(ISERROR(Winners!$H43=2),0,IF(Winners!$H43=2,-1,0))</f>
        <v>0</v>
      </c>
      <c r="AD6" s="100">
        <f>IF(ISERROR(Winners!$H43=3),0,IF(Winners!$H43=3,-0.5,0))</f>
        <v>0</v>
      </c>
      <c r="AE6" s="100">
        <f t="shared" si="1"/>
        <v>0</v>
      </c>
      <c r="AF6" s="100">
        <f t="shared" si="2"/>
        <v>0</v>
      </c>
      <c r="AG6" s="100">
        <f t="shared" si="3"/>
        <v>0</v>
      </c>
      <c r="AH6" s="100">
        <f t="shared" si="24"/>
        <v>0</v>
      </c>
      <c r="AI6" s="100">
        <f t="shared" si="25"/>
        <v>0</v>
      </c>
      <c r="AJ6" s="101">
        <f t="shared" si="4"/>
        <v>1</v>
      </c>
      <c r="AK6" s="101">
        <f t="shared" si="26"/>
        <v>0</v>
      </c>
      <c r="AL6" s="101">
        <f>IF(ISERROR(Winners!$H65=1),0,IF(Winners!$H65=1,-2,0))</f>
        <v>0</v>
      </c>
      <c r="AM6" s="101">
        <f>IF(ISERROR(Winners!$H65=2),0,IF(Winners!$H65=2,-1,0))</f>
        <v>0</v>
      </c>
      <c r="AN6" s="101">
        <f>IF(ISERROR(Winners!$H65=3),0,IF(Winners!$H65=3,-0.5,0))</f>
        <v>0</v>
      </c>
      <c r="AO6" s="101">
        <f t="shared" si="5"/>
        <v>0.5</v>
      </c>
      <c r="AP6" s="101">
        <f t="shared" si="6"/>
        <v>0</v>
      </c>
      <c r="AQ6" s="101">
        <f t="shared" si="7"/>
        <v>0</v>
      </c>
      <c r="AR6" s="101">
        <f t="shared" si="27"/>
        <v>0</v>
      </c>
      <c r="AS6" s="101">
        <f t="shared" si="28"/>
        <v>0.5</v>
      </c>
      <c r="AT6" s="102">
        <f t="shared" si="8"/>
        <v>1</v>
      </c>
      <c r="AU6" s="102">
        <f t="shared" si="29"/>
        <v>0</v>
      </c>
      <c r="AV6" s="102">
        <f>IF(ISERROR(Winners!$H87=1),0,IF(Winners!$H87=1,-2,0))</f>
        <v>0</v>
      </c>
      <c r="AW6" s="102">
        <f>IF(ISERROR(Winners!$H87=2),0,IF(Winners!$H87=2,-1,0))</f>
        <v>0</v>
      </c>
      <c r="AX6" s="102">
        <f>IF(ISERROR(Winners!$H87=3),0,IF(Winners!$H87=3,-0.5,0))</f>
        <v>0</v>
      </c>
      <c r="AY6" s="102">
        <f t="shared" si="9"/>
        <v>0</v>
      </c>
      <c r="AZ6" s="102">
        <f t="shared" si="10"/>
        <v>1</v>
      </c>
      <c r="BA6" s="102">
        <f t="shared" si="11"/>
        <v>0</v>
      </c>
      <c r="BB6" s="102">
        <f t="shared" si="30"/>
        <v>0</v>
      </c>
      <c r="BC6" s="102">
        <f t="shared" si="31"/>
        <v>1</v>
      </c>
    </row>
    <row r="7" spans="1:55" ht="12.75">
      <c r="A7" s="3" t="str">
        <f>Players!A7</f>
        <v>James Spackman</v>
      </c>
      <c r="B7" s="63">
        <f>Players!B7</f>
        <v>7</v>
      </c>
      <c r="C7" s="7">
        <f>VLOOKUP($A7,Scoreboard!$B$1:$F$21,2,FALSE)</f>
        <v>31</v>
      </c>
      <c r="D7" s="115">
        <f t="shared" si="0"/>
        <v>7.5</v>
      </c>
      <c r="E7" s="7">
        <f>VLOOKUP($A7,Scoreboard!$B$1:$F$21,3,FALSE)</f>
        <v>25</v>
      </c>
      <c r="F7" s="115">
        <f t="shared" si="12"/>
        <v>9.5</v>
      </c>
      <c r="G7" s="7">
        <f>VLOOKUP($A7,Scoreboard!$B$1:$F$21,4,FALSE)</f>
        <v>30</v>
      </c>
      <c r="H7" s="115">
        <f t="shared" si="13"/>
        <v>10</v>
      </c>
      <c r="I7" s="7">
        <f>VLOOKUP($A7,Scoreboard!$B$1:$F$21,5,FALSE)</f>
        <v>32</v>
      </c>
      <c r="J7" s="115">
        <f t="shared" si="14"/>
        <v>10</v>
      </c>
      <c r="K7" s="105"/>
      <c r="L7" s="105"/>
      <c r="M7" s="105"/>
      <c r="N7" s="105"/>
      <c r="O7" s="105"/>
      <c r="P7" s="99">
        <f t="shared" si="15"/>
        <v>1</v>
      </c>
      <c r="Q7" s="99">
        <f t="shared" si="16"/>
        <v>0</v>
      </c>
      <c r="R7" s="99">
        <f>IF(ISERROR(Winners!$H22=1),0,IF(Winners!$H22=1,-2,0))</f>
        <v>0</v>
      </c>
      <c r="S7" s="99">
        <f>IF(ISERROR(Winners!$H22=2),0,IF(Winners!$H22=2,-1,0))</f>
        <v>0</v>
      </c>
      <c r="T7" s="99">
        <f>IF(ISERROR(Winners!$H22=3),0,IF(Winners!$H22=3,-0.5,0))</f>
        <v>0</v>
      </c>
      <c r="U7" s="99">
        <f t="shared" si="17"/>
        <v>0.5</v>
      </c>
      <c r="V7" s="99">
        <f t="shared" si="18"/>
        <v>0</v>
      </c>
      <c r="W7" s="99">
        <f t="shared" si="19"/>
        <v>0</v>
      </c>
      <c r="X7" s="99">
        <f t="shared" si="20"/>
        <v>0</v>
      </c>
      <c r="Y7" s="99">
        <f t="shared" si="21"/>
        <v>0.5</v>
      </c>
      <c r="Z7" s="100">
        <f t="shared" si="22"/>
        <v>1</v>
      </c>
      <c r="AA7" s="100">
        <f t="shared" si="23"/>
        <v>1</v>
      </c>
      <c r="AB7" s="100">
        <f>IF(ISERROR(Winners!$H44=1),0,IF(Winners!$H44=1,-2,0))</f>
        <v>0</v>
      </c>
      <c r="AC7" s="100">
        <f>IF(ISERROR(Winners!$H44=2),0,IF(Winners!$H44=2,-1,0))</f>
        <v>0</v>
      </c>
      <c r="AD7" s="100">
        <f>IF(ISERROR(Winners!$H44=3),0,IF(Winners!$H44=3,-0.5,0))</f>
        <v>0</v>
      </c>
      <c r="AE7" s="100">
        <f t="shared" si="1"/>
        <v>0</v>
      </c>
      <c r="AF7" s="100">
        <f t="shared" si="2"/>
        <v>1</v>
      </c>
      <c r="AG7" s="100">
        <f t="shared" si="3"/>
        <v>0</v>
      </c>
      <c r="AH7" s="100">
        <f t="shared" si="24"/>
        <v>0</v>
      </c>
      <c r="AI7" s="100">
        <f t="shared" si="25"/>
        <v>2</v>
      </c>
      <c r="AJ7" s="101">
        <f t="shared" si="4"/>
        <v>1</v>
      </c>
      <c r="AK7" s="101">
        <f t="shared" si="26"/>
        <v>0</v>
      </c>
      <c r="AL7" s="101">
        <f>IF(ISERROR(Winners!$H66=1),0,IF(Winners!$H66=1,-2,0))</f>
        <v>0</v>
      </c>
      <c r="AM7" s="101">
        <f>IF(ISERROR(Winners!$H66=2),0,IF(Winners!$H66=2,-1,0))</f>
        <v>0</v>
      </c>
      <c r="AN7" s="101">
        <f>IF(ISERROR(Winners!$H66=3),0,IF(Winners!$H66=3,-0.5,0))</f>
        <v>0</v>
      </c>
      <c r="AO7" s="101">
        <f t="shared" si="5"/>
        <v>0.5</v>
      </c>
      <c r="AP7" s="101">
        <f t="shared" si="6"/>
        <v>0</v>
      </c>
      <c r="AQ7" s="101">
        <f t="shared" si="7"/>
        <v>0</v>
      </c>
      <c r="AR7" s="101">
        <f t="shared" si="27"/>
        <v>0</v>
      </c>
      <c r="AS7" s="101">
        <f t="shared" si="28"/>
        <v>0.5</v>
      </c>
      <c r="AT7" s="102">
        <f t="shared" si="8"/>
        <v>1</v>
      </c>
      <c r="AU7" s="102">
        <f t="shared" si="29"/>
        <v>0</v>
      </c>
      <c r="AV7" s="102">
        <f>IF(ISERROR(Winners!$H88=1),0,IF(Winners!$H88=1,-2,0))</f>
        <v>0</v>
      </c>
      <c r="AW7" s="102">
        <f>IF(ISERROR(Winners!$H88=2),0,IF(Winners!$H88=2,-1,0))</f>
        <v>0</v>
      </c>
      <c r="AX7" s="102">
        <f>IF(ISERROR(Winners!$H88=3),0,IF(Winners!$H88=3,-0.5,0))</f>
        <v>-0.5</v>
      </c>
      <c r="AY7" s="102">
        <f t="shared" si="9"/>
        <v>0.5</v>
      </c>
      <c r="AZ7" s="102">
        <f t="shared" si="10"/>
        <v>0</v>
      </c>
      <c r="BA7" s="102">
        <f t="shared" si="11"/>
        <v>0</v>
      </c>
      <c r="BB7" s="102">
        <f t="shared" si="30"/>
        <v>0</v>
      </c>
      <c r="BC7" s="102">
        <f t="shared" si="31"/>
        <v>0</v>
      </c>
    </row>
    <row r="8" spans="1:55" ht="12.75">
      <c r="A8" s="3" t="str">
        <f>Players!A8</f>
        <v>Marcus Street</v>
      </c>
      <c r="B8" s="63">
        <f>Players!B8</f>
        <v>16</v>
      </c>
      <c r="C8" s="7">
        <f>VLOOKUP($A8,Scoreboard!$B$1:$F$21,2,FALSE)</f>
        <v>32</v>
      </c>
      <c r="D8" s="115">
        <f t="shared" si="0"/>
        <v>16.5</v>
      </c>
      <c r="E8" s="7">
        <f>VLOOKUP($A8,Scoreboard!$B$1:$F$21,3,FALSE)</f>
        <v>38</v>
      </c>
      <c r="F8" s="115">
        <f t="shared" si="12"/>
        <v>14.5</v>
      </c>
      <c r="G8" s="7">
        <f>VLOOKUP($A8,Scoreboard!$B$1:$F$21,4,FALSE)</f>
        <v>25</v>
      </c>
      <c r="H8" s="115">
        <f t="shared" si="13"/>
        <v>15.5</v>
      </c>
      <c r="I8" s="7">
        <f>VLOOKUP($A8,Scoreboard!$B$1:$F$21,5,FALSE)</f>
        <v>26</v>
      </c>
      <c r="J8" s="115">
        <f t="shared" si="14"/>
        <v>16.5</v>
      </c>
      <c r="K8" s="105"/>
      <c r="L8" s="105"/>
      <c r="M8" s="105"/>
      <c r="N8" s="105"/>
      <c r="O8" s="105"/>
      <c r="P8" s="99">
        <f t="shared" si="15"/>
        <v>1</v>
      </c>
      <c r="Q8" s="99">
        <f t="shared" si="16"/>
        <v>0</v>
      </c>
      <c r="R8" s="99">
        <f>IF(ISERROR(Winners!$H23=1),0,IF(Winners!$H23=1,-2,0))</f>
        <v>0</v>
      </c>
      <c r="S8" s="99">
        <f>IF(ISERROR(Winners!$H23=2),0,IF(Winners!$H23=2,-1,0))</f>
        <v>0</v>
      </c>
      <c r="T8" s="99">
        <f>IF(ISERROR(Winners!$H23=3),0,IF(Winners!$H23=3,-0.5,0))</f>
        <v>0</v>
      </c>
      <c r="U8" s="99">
        <f t="shared" si="17"/>
        <v>0.5</v>
      </c>
      <c r="V8" s="99">
        <f t="shared" si="18"/>
        <v>0</v>
      </c>
      <c r="W8" s="99">
        <f t="shared" si="19"/>
        <v>0</v>
      </c>
      <c r="X8" s="99">
        <f t="shared" si="20"/>
        <v>0</v>
      </c>
      <c r="Y8" s="99">
        <f t="shared" si="21"/>
        <v>0.5</v>
      </c>
      <c r="Z8" s="100">
        <f t="shared" si="22"/>
        <v>1</v>
      </c>
      <c r="AA8" s="100">
        <f t="shared" si="23"/>
        <v>0</v>
      </c>
      <c r="AB8" s="100">
        <f>IF(ISERROR(Winners!$H45=1),0,IF(Winners!$H45=1,-2,0))</f>
        <v>0</v>
      </c>
      <c r="AC8" s="100">
        <f>IF(ISERROR(Winners!$H45=2),0,IF(Winners!$H45=2,-1,0))</f>
        <v>-1</v>
      </c>
      <c r="AD8" s="100">
        <f>IF(ISERROR(Winners!$H45=3),0,IF(Winners!$H45=3,-0.5,0))</f>
        <v>0</v>
      </c>
      <c r="AE8" s="100">
        <f t="shared" si="1"/>
        <v>0</v>
      </c>
      <c r="AF8" s="100">
        <f t="shared" si="2"/>
        <v>0</v>
      </c>
      <c r="AG8" s="100">
        <f t="shared" si="3"/>
        <v>0</v>
      </c>
      <c r="AH8" s="100">
        <f t="shared" si="24"/>
        <v>-1</v>
      </c>
      <c r="AI8" s="100">
        <f t="shared" si="25"/>
        <v>-2</v>
      </c>
      <c r="AJ8" s="101">
        <f t="shared" si="4"/>
        <v>1</v>
      </c>
      <c r="AK8" s="101">
        <f t="shared" si="26"/>
        <v>0</v>
      </c>
      <c r="AL8" s="101">
        <f>IF(ISERROR(Winners!$H67=1),0,IF(Winners!$H67=1,-2,0))</f>
        <v>0</v>
      </c>
      <c r="AM8" s="101">
        <f>IF(ISERROR(Winners!$H67=2),0,IF(Winners!$H67=2,-1,0))</f>
        <v>0</v>
      </c>
      <c r="AN8" s="101">
        <f>IF(ISERROR(Winners!$H67=3),0,IF(Winners!$H67=3,-0.5,0))</f>
        <v>0</v>
      </c>
      <c r="AO8" s="101">
        <f t="shared" si="5"/>
        <v>0</v>
      </c>
      <c r="AP8" s="101">
        <f t="shared" si="6"/>
        <v>1</v>
      </c>
      <c r="AQ8" s="101">
        <f t="shared" si="7"/>
        <v>0</v>
      </c>
      <c r="AR8" s="101">
        <f t="shared" si="27"/>
        <v>0</v>
      </c>
      <c r="AS8" s="101">
        <f t="shared" si="28"/>
        <v>1</v>
      </c>
      <c r="AT8" s="102">
        <f t="shared" si="8"/>
        <v>1</v>
      </c>
      <c r="AU8" s="102">
        <f t="shared" si="29"/>
        <v>0</v>
      </c>
      <c r="AV8" s="102">
        <f>IF(ISERROR(Winners!$H89=1),0,IF(Winners!$H89=1,-2,0))</f>
        <v>0</v>
      </c>
      <c r="AW8" s="102">
        <f>IF(ISERROR(Winners!$H89=2),0,IF(Winners!$H89=2,-1,0))</f>
        <v>0</v>
      </c>
      <c r="AX8" s="102">
        <f>IF(ISERROR(Winners!$H89=3),0,IF(Winners!$H89=3,-0.5,0))</f>
        <v>0</v>
      </c>
      <c r="AY8" s="102">
        <f t="shared" si="9"/>
        <v>0</v>
      </c>
      <c r="AZ8" s="102">
        <f t="shared" si="10"/>
        <v>1</v>
      </c>
      <c r="BA8" s="102">
        <f t="shared" si="11"/>
        <v>0</v>
      </c>
      <c r="BB8" s="102">
        <f t="shared" si="30"/>
        <v>0</v>
      </c>
      <c r="BC8" s="102">
        <f t="shared" si="31"/>
        <v>1</v>
      </c>
    </row>
    <row r="9" spans="1:55" ht="12.75">
      <c r="A9" s="3" t="str">
        <f>Players!A9</f>
        <v>Roger Chapman</v>
      </c>
      <c r="B9" s="63">
        <f>Players!B9</f>
        <v>17</v>
      </c>
      <c r="C9" s="7">
        <f>VLOOKUP($A9,Scoreboard!$B$1:$F$21,2,FALSE)</f>
        <v>37</v>
      </c>
      <c r="D9" s="115">
        <f t="shared" si="0"/>
        <v>14.5</v>
      </c>
      <c r="E9" s="7">
        <f>VLOOKUP($A9,Scoreboard!$B$1:$F$21,3,FALSE)</f>
        <v>32</v>
      </c>
      <c r="F9" s="115">
        <f t="shared" si="12"/>
        <v>15</v>
      </c>
      <c r="G9" s="7">
        <f>VLOOKUP($A9,Scoreboard!$B$1:$F$21,4,FALSE)</f>
        <v>31</v>
      </c>
      <c r="H9" s="115">
        <f t="shared" si="13"/>
        <v>15.5</v>
      </c>
      <c r="I9" s="7">
        <f>VLOOKUP($A9,Scoreboard!$B$1:$F$21,5,FALSE)</f>
        <v>25</v>
      </c>
      <c r="J9" s="115">
        <f t="shared" si="14"/>
        <v>16.5</v>
      </c>
      <c r="K9" s="105"/>
      <c r="L9" s="105"/>
      <c r="M9" s="105"/>
      <c r="N9" s="105"/>
      <c r="O9" s="105"/>
      <c r="P9" s="99">
        <f t="shared" si="15"/>
        <v>1</v>
      </c>
      <c r="Q9" s="99">
        <f t="shared" si="16"/>
        <v>0</v>
      </c>
      <c r="R9" s="99">
        <f>IF(ISERROR(Winners!$H24=1),0,IF(Winners!$H24=1,-2,0))</f>
        <v>-2</v>
      </c>
      <c r="S9" s="99">
        <f>IF(ISERROR(Winners!$H24=2),0,IF(Winners!$H24=2,-1,0))</f>
        <v>0</v>
      </c>
      <c r="T9" s="99">
        <f>IF(ISERROR(Winners!$H24=3),0,IF(Winners!$H24=3,-0.5,0))</f>
        <v>0</v>
      </c>
      <c r="U9" s="99">
        <f t="shared" si="17"/>
        <v>0</v>
      </c>
      <c r="V9" s="99">
        <f t="shared" si="18"/>
        <v>0</v>
      </c>
      <c r="W9" s="99">
        <f t="shared" si="19"/>
        <v>0</v>
      </c>
      <c r="X9" s="99">
        <f t="shared" si="20"/>
        <v>-0.5</v>
      </c>
      <c r="Y9" s="99">
        <f t="shared" si="21"/>
        <v>-2.5</v>
      </c>
      <c r="Z9" s="100">
        <f t="shared" si="22"/>
        <v>1</v>
      </c>
      <c r="AA9" s="100">
        <f t="shared" si="23"/>
        <v>0</v>
      </c>
      <c r="AB9" s="100">
        <f>IF(ISERROR(Winners!$H46=1),0,IF(Winners!$H46=1,-2,0))</f>
        <v>0</v>
      </c>
      <c r="AC9" s="100">
        <f>IF(ISERROR(Winners!$H46=2),0,IF(Winners!$H46=2,-1,0))</f>
        <v>0</v>
      </c>
      <c r="AD9" s="100">
        <f>IF(ISERROR(Winners!$H46=3),0,IF(Winners!$H46=3,-0.5,0))</f>
        <v>0</v>
      </c>
      <c r="AE9" s="100">
        <f t="shared" si="1"/>
        <v>0.5</v>
      </c>
      <c r="AF9" s="100">
        <f t="shared" si="2"/>
        <v>0</v>
      </c>
      <c r="AG9" s="100">
        <f t="shared" si="3"/>
        <v>0</v>
      </c>
      <c r="AH9" s="100">
        <f t="shared" si="24"/>
        <v>0</v>
      </c>
      <c r="AI9" s="100">
        <f t="shared" si="25"/>
        <v>0.5</v>
      </c>
      <c r="AJ9" s="101">
        <f t="shared" si="4"/>
        <v>1</v>
      </c>
      <c r="AK9" s="101">
        <f t="shared" si="26"/>
        <v>0</v>
      </c>
      <c r="AL9" s="101">
        <f>IF(ISERROR(Winners!$H68=1),0,IF(Winners!$H68=1,-2,0))</f>
        <v>0</v>
      </c>
      <c r="AM9" s="101">
        <f>IF(ISERROR(Winners!$H68=2),0,IF(Winners!$H68=2,-1,0))</f>
        <v>0</v>
      </c>
      <c r="AN9" s="101">
        <f>IF(ISERROR(Winners!$H68=3),0,IF(Winners!$H68=3,-0.5,0))</f>
        <v>0</v>
      </c>
      <c r="AO9" s="101">
        <f t="shared" si="5"/>
        <v>0.5</v>
      </c>
      <c r="AP9" s="101">
        <f t="shared" si="6"/>
        <v>0</v>
      </c>
      <c r="AQ9" s="101">
        <f t="shared" si="7"/>
        <v>0</v>
      </c>
      <c r="AR9" s="101">
        <f t="shared" si="27"/>
        <v>0</v>
      </c>
      <c r="AS9" s="101">
        <f t="shared" si="28"/>
        <v>0.5</v>
      </c>
      <c r="AT9" s="102">
        <f t="shared" si="8"/>
        <v>1</v>
      </c>
      <c r="AU9" s="102">
        <f t="shared" si="29"/>
        <v>0</v>
      </c>
      <c r="AV9" s="102">
        <f>IF(ISERROR(Winners!$H90=1),0,IF(Winners!$H90=1,-2,0))</f>
        <v>0</v>
      </c>
      <c r="AW9" s="102">
        <f>IF(ISERROR(Winners!$H90=2),0,IF(Winners!$H90=2,-1,0))</f>
        <v>0</v>
      </c>
      <c r="AX9" s="102">
        <f>IF(ISERROR(Winners!$H90=3),0,IF(Winners!$H90=3,-0.5,0))</f>
        <v>0</v>
      </c>
      <c r="AY9" s="102">
        <f t="shared" si="9"/>
        <v>0</v>
      </c>
      <c r="AZ9" s="102">
        <f t="shared" si="10"/>
        <v>1</v>
      </c>
      <c r="BA9" s="102">
        <f t="shared" si="11"/>
        <v>0</v>
      </c>
      <c r="BB9" s="102">
        <f t="shared" si="30"/>
        <v>0</v>
      </c>
      <c r="BC9" s="102">
        <f t="shared" si="31"/>
        <v>1</v>
      </c>
    </row>
    <row r="10" spans="1:55" ht="12.75">
      <c r="A10" s="3" t="str">
        <f>Players!A10</f>
        <v>Scott Saurin</v>
      </c>
      <c r="B10" s="63">
        <f>Players!B10</f>
        <v>6</v>
      </c>
      <c r="C10" s="7">
        <f>VLOOKUP($A10,Scoreboard!$B$1:$F$21,2,FALSE)</f>
        <v>32</v>
      </c>
      <c r="D10" s="115">
        <f t="shared" si="0"/>
        <v>6.5</v>
      </c>
      <c r="E10" s="7">
        <f>VLOOKUP($A10,Scoreboard!$B$1:$F$21,3,FALSE)</f>
        <v>41</v>
      </c>
      <c r="F10" s="115">
        <f t="shared" si="12"/>
        <v>2</v>
      </c>
      <c r="G10" s="7">
        <f>VLOOKUP($A10,Scoreboard!$B$1:$F$21,4,FALSE)</f>
        <v>27</v>
      </c>
      <c r="H10" s="115">
        <f t="shared" si="13"/>
        <v>3</v>
      </c>
      <c r="I10" s="7">
        <f>VLOOKUP($A10,Scoreboard!$B$1:$F$21,5,FALSE)</f>
        <v>27</v>
      </c>
      <c r="J10" s="115">
        <f t="shared" si="14"/>
        <v>4</v>
      </c>
      <c r="K10" s="105"/>
      <c r="L10" s="105"/>
      <c r="M10" s="105"/>
      <c r="N10" s="105"/>
      <c r="O10" s="105"/>
      <c r="P10" s="99">
        <f t="shared" si="15"/>
        <v>1</v>
      </c>
      <c r="Q10" s="99">
        <f t="shared" si="16"/>
        <v>0</v>
      </c>
      <c r="R10" s="99">
        <f>IF(ISERROR(Winners!$H25=1),0,IF(Winners!$H25=1,-2,0))</f>
        <v>0</v>
      </c>
      <c r="S10" s="99">
        <f>IF(ISERROR(Winners!$H25=2),0,IF(Winners!$H25=2,-1,0))</f>
        <v>0</v>
      </c>
      <c r="T10" s="99">
        <f>IF(ISERROR(Winners!$H25=3),0,IF(Winners!$H25=3,-0.5,0))</f>
        <v>0</v>
      </c>
      <c r="U10" s="99">
        <f t="shared" si="17"/>
        <v>0.5</v>
      </c>
      <c r="V10" s="99">
        <f t="shared" si="18"/>
        <v>0</v>
      </c>
      <c r="W10" s="99">
        <f t="shared" si="19"/>
        <v>0</v>
      </c>
      <c r="X10" s="99">
        <f t="shared" si="20"/>
        <v>0</v>
      </c>
      <c r="Y10" s="99">
        <f t="shared" si="21"/>
        <v>0.5</v>
      </c>
      <c r="Z10" s="100">
        <f t="shared" si="22"/>
        <v>1</v>
      </c>
      <c r="AA10" s="100">
        <f t="shared" si="23"/>
        <v>0</v>
      </c>
      <c r="AB10" s="100">
        <f>IF(ISERROR(Winners!$H47=1),0,IF(Winners!$H47=1,-2,0))</f>
        <v>-2</v>
      </c>
      <c r="AC10" s="100">
        <f>IF(ISERROR(Winners!$H47=2),0,IF(Winners!$H47=2,-1,0))</f>
        <v>0</v>
      </c>
      <c r="AD10" s="100">
        <f>IF(ISERROR(Winners!$H47=3),0,IF(Winners!$H47=3,-0.5,0))</f>
        <v>0</v>
      </c>
      <c r="AE10" s="100">
        <f t="shared" si="1"/>
        <v>0</v>
      </c>
      <c r="AF10" s="100">
        <f t="shared" si="2"/>
        <v>0</v>
      </c>
      <c r="AG10" s="100">
        <f t="shared" si="3"/>
        <v>0</v>
      </c>
      <c r="AH10" s="100">
        <f t="shared" si="24"/>
        <v>-2.5</v>
      </c>
      <c r="AI10" s="100">
        <f t="shared" si="25"/>
        <v>-4.5</v>
      </c>
      <c r="AJ10" s="101">
        <f t="shared" si="4"/>
        <v>1</v>
      </c>
      <c r="AK10" s="101">
        <f t="shared" si="26"/>
        <v>0</v>
      </c>
      <c r="AL10" s="101">
        <f>IF(ISERROR(Winners!$H69=1),0,IF(Winners!$H69=1,-2,0))</f>
        <v>0</v>
      </c>
      <c r="AM10" s="101">
        <f>IF(ISERROR(Winners!$H69=2),0,IF(Winners!$H69=2,-1,0))</f>
        <v>0</v>
      </c>
      <c r="AN10" s="101">
        <f>IF(ISERROR(Winners!$H69=3),0,IF(Winners!$H69=3,-0.5,0))</f>
        <v>0</v>
      </c>
      <c r="AO10" s="101">
        <f t="shared" si="5"/>
        <v>0</v>
      </c>
      <c r="AP10" s="101">
        <f t="shared" si="6"/>
        <v>1</v>
      </c>
      <c r="AQ10" s="101">
        <f t="shared" si="7"/>
        <v>0</v>
      </c>
      <c r="AR10" s="101">
        <f t="shared" si="27"/>
        <v>0</v>
      </c>
      <c r="AS10" s="101">
        <f t="shared" si="28"/>
        <v>1</v>
      </c>
      <c r="AT10" s="102">
        <f t="shared" si="8"/>
        <v>1</v>
      </c>
      <c r="AU10" s="102">
        <f t="shared" si="29"/>
        <v>0</v>
      </c>
      <c r="AV10" s="102">
        <f>IF(ISERROR(Winners!$H91=1),0,IF(Winners!$H91=1,-2,0))</f>
        <v>0</v>
      </c>
      <c r="AW10" s="102">
        <f>IF(ISERROR(Winners!$H91=2),0,IF(Winners!$H91=2,-1,0))</f>
        <v>0</v>
      </c>
      <c r="AX10" s="102">
        <f>IF(ISERROR(Winners!$H91=3),0,IF(Winners!$H91=3,-0.5,0))</f>
        <v>0</v>
      </c>
      <c r="AY10" s="102">
        <f t="shared" si="9"/>
        <v>0</v>
      </c>
      <c r="AZ10" s="102">
        <f t="shared" si="10"/>
        <v>1</v>
      </c>
      <c r="BA10" s="102">
        <f t="shared" si="11"/>
        <v>0</v>
      </c>
      <c r="BB10" s="102">
        <f t="shared" si="30"/>
        <v>0</v>
      </c>
      <c r="BC10" s="102">
        <f t="shared" si="31"/>
        <v>1</v>
      </c>
    </row>
    <row r="11" spans="1:55" ht="12.75">
      <c r="A11" s="3" t="str">
        <f>Players!A11</f>
        <v>James Webb</v>
      </c>
      <c r="B11" s="63">
        <f>Players!B11</f>
        <v>19</v>
      </c>
      <c r="C11" s="7">
        <f>VLOOKUP($A11,Scoreboard!$B$1:$F$21,2,FALSE)</f>
        <v>29</v>
      </c>
      <c r="D11" s="115">
        <f t="shared" si="0"/>
        <v>19.5</v>
      </c>
      <c r="E11" s="7">
        <f>VLOOKUP($A11,Scoreboard!$B$1:$F$21,3,FALSE)</f>
        <v>31</v>
      </c>
      <c r="F11" s="115">
        <f t="shared" si="12"/>
        <v>20</v>
      </c>
      <c r="G11" s="7">
        <f>VLOOKUP($A11,Scoreboard!$B$1:$F$21,4,FALSE)</f>
        <v>33</v>
      </c>
      <c r="H11" s="115">
        <f t="shared" si="13"/>
        <v>20</v>
      </c>
      <c r="I11" s="7">
        <f>VLOOKUP($A11,Scoreboard!$B$1:$F$21,5,FALSE)</f>
        <v>29</v>
      </c>
      <c r="J11" s="115">
        <f t="shared" si="14"/>
        <v>20.5</v>
      </c>
      <c r="K11" s="105"/>
      <c r="L11" s="105"/>
      <c r="M11" s="105"/>
      <c r="N11" s="105"/>
      <c r="O11" s="105"/>
      <c r="P11" s="99">
        <f t="shared" si="15"/>
        <v>1</v>
      </c>
      <c r="Q11" s="99">
        <f t="shared" si="16"/>
        <v>0</v>
      </c>
      <c r="R11" s="99">
        <f>IF(ISERROR(Winners!$H26=1),0,IF(Winners!$H26=1,-2,0))</f>
        <v>0</v>
      </c>
      <c r="S11" s="99">
        <f>IF(ISERROR(Winners!$H26=2),0,IF(Winners!$H26=2,-1,0))</f>
        <v>0</v>
      </c>
      <c r="T11" s="99">
        <f>IF(ISERROR(Winners!$H26=3),0,IF(Winners!$H26=3,-0.5,0))</f>
        <v>0</v>
      </c>
      <c r="U11" s="99">
        <f t="shared" si="17"/>
        <v>0.5</v>
      </c>
      <c r="V11" s="99">
        <f t="shared" si="18"/>
        <v>0</v>
      </c>
      <c r="W11" s="99">
        <f t="shared" si="19"/>
        <v>0</v>
      </c>
      <c r="X11" s="99">
        <f t="shared" si="20"/>
        <v>0</v>
      </c>
      <c r="Y11" s="99">
        <f t="shared" si="21"/>
        <v>0.5</v>
      </c>
      <c r="Z11" s="100">
        <f t="shared" si="22"/>
        <v>1</v>
      </c>
      <c r="AA11" s="100">
        <f t="shared" si="23"/>
        <v>0</v>
      </c>
      <c r="AB11" s="100">
        <f>IF(ISERROR(Winners!$H48=1),0,IF(Winners!$H48=1,-2,0))</f>
        <v>0</v>
      </c>
      <c r="AC11" s="100">
        <f>IF(ISERROR(Winners!$H48=2),0,IF(Winners!$H48=2,-1,0))</f>
        <v>0</v>
      </c>
      <c r="AD11" s="100">
        <f>IF(ISERROR(Winners!$H48=3),0,IF(Winners!$H48=3,-0.5,0))</f>
        <v>0</v>
      </c>
      <c r="AE11" s="100">
        <f t="shared" si="1"/>
        <v>0.5</v>
      </c>
      <c r="AF11" s="100">
        <f t="shared" si="2"/>
        <v>0</v>
      </c>
      <c r="AG11" s="100">
        <f t="shared" si="3"/>
        <v>0</v>
      </c>
      <c r="AH11" s="100">
        <f t="shared" si="24"/>
        <v>0</v>
      </c>
      <c r="AI11" s="100">
        <f t="shared" si="25"/>
        <v>0.5</v>
      </c>
      <c r="AJ11" s="101">
        <f t="shared" si="4"/>
        <v>1</v>
      </c>
      <c r="AK11" s="101">
        <f t="shared" si="26"/>
        <v>0</v>
      </c>
      <c r="AL11" s="101">
        <f>IF(ISERROR(Winners!$H70=1),0,IF(Winners!$H70=1,-2,0))</f>
        <v>0</v>
      </c>
      <c r="AM11" s="101">
        <f>IF(ISERROR(Winners!$H70=2),0,IF(Winners!$H70=2,-1,0))</f>
        <v>0</v>
      </c>
      <c r="AN11" s="101">
        <f>IF(ISERROR(Winners!$H70=3),0,IF(Winners!$H70=3,-0.5,0))</f>
        <v>0</v>
      </c>
      <c r="AO11" s="101">
        <f t="shared" si="5"/>
        <v>0</v>
      </c>
      <c r="AP11" s="101">
        <f t="shared" si="6"/>
        <v>0</v>
      </c>
      <c r="AQ11" s="101">
        <f t="shared" si="7"/>
        <v>0</v>
      </c>
      <c r="AR11" s="101">
        <f t="shared" si="27"/>
        <v>0</v>
      </c>
      <c r="AS11" s="101">
        <f t="shared" si="28"/>
        <v>0</v>
      </c>
      <c r="AT11" s="102">
        <f t="shared" si="8"/>
        <v>1</v>
      </c>
      <c r="AU11" s="102">
        <f t="shared" si="29"/>
        <v>0</v>
      </c>
      <c r="AV11" s="102">
        <f>IF(ISERROR(Winners!$H92=1),0,IF(Winners!$H92=1,-2,0))</f>
        <v>0</v>
      </c>
      <c r="AW11" s="102">
        <f>IF(ISERROR(Winners!$H92=2),0,IF(Winners!$H92=2,-1,0))</f>
        <v>0</v>
      </c>
      <c r="AX11" s="102">
        <f>IF(ISERROR(Winners!$H92=3),0,IF(Winners!$H92=3,-0.5,0))</f>
        <v>0</v>
      </c>
      <c r="AY11" s="102">
        <f t="shared" si="9"/>
        <v>0.5</v>
      </c>
      <c r="AZ11" s="102">
        <f t="shared" si="10"/>
        <v>0</v>
      </c>
      <c r="BA11" s="102">
        <f t="shared" si="11"/>
        <v>0</v>
      </c>
      <c r="BB11" s="102">
        <f t="shared" si="30"/>
        <v>0</v>
      </c>
      <c r="BC11" s="102">
        <f t="shared" si="31"/>
        <v>0.5</v>
      </c>
    </row>
    <row r="12" spans="1:55" ht="12.75">
      <c r="A12" s="3" t="str">
        <f>Players!C2</f>
        <v>Adam Greening</v>
      </c>
      <c r="B12" s="63">
        <f>Players!D2</f>
        <v>9</v>
      </c>
      <c r="C12" s="7">
        <f>VLOOKUP($A12,Scoreboard!$B$1:$F$21,2,FALSE)</f>
        <v>35</v>
      </c>
      <c r="D12" s="115">
        <f t="shared" si="0"/>
        <v>9</v>
      </c>
      <c r="E12" s="7">
        <f>VLOOKUP($A12,Scoreboard!$B$1:$F$21,3,FALSE)</f>
        <v>29</v>
      </c>
      <c r="F12" s="115">
        <f t="shared" si="12"/>
        <v>9.5</v>
      </c>
      <c r="G12" s="7">
        <f>VLOOKUP($A12,Scoreboard!$B$1:$F$21,4,FALSE)</f>
        <v>28</v>
      </c>
      <c r="H12" s="115">
        <f t="shared" si="13"/>
        <v>10</v>
      </c>
      <c r="I12" s="7">
        <f>VLOOKUP($A12,Scoreboard!$B$1:$F$21,5,FALSE)</f>
        <v>22</v>
      </c>
      <c r="J12" s="115">
        <f t="shared" si="14"/>
        <v>11</v>
      </c>
      <c r="K12" s="105"/>
      <c r="L12" s="105"/>
      <c r="M12" s="105"/>
      <c r="N12" s="105"/>
      <c r="O12" s="105"/>
      <c r="P12" s="99">
        <f t="shared" si="15"/>
        <v>1</v>
      </c>
      <c r="Q12" s="99">
        <f t="shared" si="16"/>
        <v>0</v>
      </c>
      <c r="R12" s="99">
        <f>IF(ISERROR(Winners!$H27=1),0,IF(Winners!$H27=1,-2,0))</f>
        <v>0</v>
      </c>
      <c r="S12" s="99">
        <f>IF(ISERROR(Winners!$H27=2),0,IF(Winners!$H27=2,-1,0))</f>
        <v>0</v>
      </c>
      <c r="T12" s="99">
        <f>IF(ISERROR(Winners!$H27=3),0,IF(Winners!$H27=3,-0.5,0))</f>
        <v>0</v>
      </c>
      <c r="U12" s="99">
        <f t="shared" si="17"/>
        <v>0</v>
      </c>
      <c r="V12" s="99">
        <f t="shared" si="18"/>
        <v>0</v>
      </c>
      <c r="W12" s="99">
        <f t="shared" si="19"/>
        <v>0</v>
      </c>
      <c r="X12" s="99">
        <f t="shared" si="20"/>
        <v>0</v>
      </c>
      <c r="Y12" s="99">
        <f t="shared" si="21"/>
        <v>0</v>
      </c>
      <c r="Z12" s="100">
        <f t="shared" si="22"/>
        <v>1</v>
      </c>
      <c r="AA12" s="100">
        <f t="shared" si="23"/>
        <v>0</v>
      </c>
      <c r="AB12" s="100">
        <f>IF(ISERROR(Winners!$H49=1),0,IF(Winners!$H49=1,-2,0))</f>
        <v>0</v>
      </c>
      <c r="AC12" s="100">
        <f>IF(ISERROR(Winners!$H49=2),0,IF(Winners!$H49=2,-1,0))</f>
        <v>0</v>
      </c>
      <c r="AD12" s="100">
        <f>IF(ISERROR(Winners!$H49=3),0,IF(Winners!$H49=3,-0.5,0))</f>
        <v>0</v>
      </c>
      <c r="AE12" s="100">
        <f t="shared" si="1"/>
        <v>0.5</v>
      </c>
      <c r="AF12" s="100">
        <f t="shared" si="2"/>
        <v>0</v>
      </c>
      <c r="AG12" s="100">
        <f t="shared" si="3"/>
        <v>0</v>
      </c>
      <c r="AH12" s="100">
        <f t="shared" si="24"/>
        <v>0</v>
      </c>
      <c r="AI12" s="100">
        <f t="shared" si="25"/>
        <v>0.5</v>
      </c>
      <c r="AJ12" s="101">
        <f t="shared" si="4"/>
        <v>1</v>
      </c>
      <c r="AK12" s="101">
        <f t="shared" si="26"/>
        <v>0</v>
      </c>
      <c r="AL12" s="101">
        <f>IF(ISERROR(Winners!$H71=1),0,IF(Winners!$H71=1,-2,0))</f>
        <v>0</v>
      </c>
      <c r="AM12" s="101">
        <f>IF(ISERROR(Winners!$H71=2),0,IF(Winners!$H71=2,-1,0))</f>
        <v>0</v>
      </c>
      <c r="AN12" s="101">
        <f>IF(ISERROR(Winners!$H71=3),0,IF(Winners!$H71=3,-0.5,0))</f>
        <v>0</v>
      </c>
      <c r="AO12" s="101">
        <f t="shared" si="5"/>
        <v>0.5</v>
      </c>
      <c r="AP12" s="101">
        <f t="shared" si="6"/>
        <v>0</v>
      </c>
      <c r="AQ12" s="101">
        <f t="shared" si="7"/>
        <v>0</v>
      </c>
      <c r="AR12" s="101">
        <f t="shared" si="27"/>
        <v>0</v>
      </c>
      <c r="AS12" s="101">
        <f t="shared" si="28"/>
        <v>0.5</v>
      </c>
      <c r="AT12" s="102">
        <f t="shared" si="8"/>
        <v>1</v>
      </c>
      <c r="AU12" s="102">
        <f t="shared" si="29"/>
        <v>0</v>
      </c>
      <c r="AV12" s="102">
        <f>IF(ISERROR(Winners!$H93=1),0,IF(Winners!$H93=1,-2,0))</f>
        <v>0</v>
      </c>
      <c r="AW12" s="102">
        <f>IF(ISERROR(Winners!$H93=2),0,IF(Winners!$H93=2,-1,0))</f>
        <v>0</v>
      </c>
      <c r="AX12" s="102">
        <f>IF(ISERROR(Winners!$H93=3),0,IF(Winners!$H93=3,-0.5,0))</f>
        <v>0</v>
      </c>
      <c r="AY12" s="102">
        <f t="shared" si="9"/>
        <v>0</v>
      </c>
      <c r="AZ12" s="102">
        <f t="shared" si="10"/>
        <v>1</v>
      </c>
      <c r="BA12" s="102">
        <f t="shared" si="11"/>
        <v>0</v>
      </c>
      <c r="BB12" s="102">
        <f t="shared" si="30"/>
        <v>0</v>
      </c>
      <c r="BC12" s="102">
        <f t="shared" si="31"/>
        <v>1</v>
      </c>
    </row>
    <row r="13" spans="1:55" ht="12.75">
      <c r="A13" s="3" t="str">
        <f>Players!C3</f>
        <v>Alex Davies</v>
      </c>
      <c r="B13" s="63">
        <f>Players!D3</f>
        <v>1</v>
      </c>
      <c r="C13" s="7">
        <f>VLOOKUP($A13,Scoreboard!$B$1:$F$21,2,FALSE)</f>
        <v>32</v>
      </c>
      <c r="D13" s="115">
        <f t="shared" si="0"/>
        <v>1.5</v>
      </c>
      <c r="E13" s="7">
        <f>VLOOKUP($A13,Scoreboard!$B$1:$F$21,3,FALSE)</f>
        <v>29</v>
      </c>
      <c r="F13" s="115">
        <f t="shared" si="12"/>
        <v>2</v>
      </c>
      <c r="G13" s="7">
        <f>VLOOKUP($A13,Scoreboard!$B$1:$F$21,4,FALSE)</f>
        <v>35</v>
      </c>
      <c r="H13" s="115">
        <f t="shared" si="13"/>
        <v>2</v>
      </c>
      <c r="I13" s="7">
        <f>VLOOKUP($A13,Scoreboard!$B$1:$F$21,5,FALSE)</f>
        <v>37</v>
      </c>
      <c r="J13" s="115">
        <f t="shared" si="14"/>
        <v>-0.5</v>
      </c>
      <c r="K13" s="105"/>
      <c r="L13" s="105"/>
      <c r="M13" s="105"/>
      <c r="N13" s="105"/>
      <c r="O13" s="105"/>
      <c r="P13" s="99">
        <f t="shared" si="15"/>
        <v>1</v>
      </c>
      <c r="Q13" s="99">
        <f>IF($C13=$C$28,1,0)</f>
        <v>0</v>
      </c>
      <c r="R13" s="99">
        <f>IF(ISERROR(Winners!$H28=1),0,IF(Winners!$H28=1,-2,0))</f>
        <v>0</v>
      </c>
      <c r="S13" s="99">
        <f>IF(ISERROR(Winners!$H28=2),0,IF(Winners!$H28=2,-1,0))</f>
        <v>0</v>
      </c>
      <c r="T13" s="99">
        <f>IF(ISERROR(Winners!$H28=3),0,IF(Winners!$H28=3,-0.5,0))</f>
        <v>0</v>
      </c>
      <c r="U13" s="99">
        <f t="shared" si="17"/>
        <v>0.5</v>
      </c>
      <c r="V13" s="99">
        <f t="shared" si="18"/>
        <v>0</v>
      </c>
      <c r="W13" s="99">
        <f t="shared" si="19"/>
        <v>0</v>
      </c>
      <c r="X13" s="99">
        <f t="shared" si="20"/>
        <v>0</v>
      </c>
      <c r="Y13" s="99">
        <f t="shared" si="21"/>
        <v>0.5</v>
      </c>
      <c r="Z13" s="100">
        <f t="shared" si="22"/>
        <v>1</v>
      </c>
      <c r="AA13" s="100">
        <f t="shared" si="23"/>
        <v>0</v>
      </c>
      <c r="AB13" s="100">
        <f>IF(ISERROR(Winners!$H50=1),0,IF(Winners!$H50=1,-2,0))</f>
        <v>0</v>
      </c>
      <c r="AC13" s="100">
        <f>IF(ISERROR(Winners!$H50=2),0,IF(Winners!$H50=2,-1,0))</f>
        <v>0</v>
      </c>
      <c r="AD13" s="100">
        <f>IF(ISERROR(Winners!$H50=3),0,IF(Winners!$H50=3,-0.5,0))</f>
        <v>0</v>
      </c>
      <c r="AE13" s="100">
        <f t="shared" si="1"/>
        <v>0.5</v>
      </c>
      <c r="AF13" s="100">
        <f t="shared" si="2"/>
        <v>0</v>
      </c>
      <c r="AG13" s="100">
        <f t="shared" si="3"/>
        <v>0</v>
      </c>
      <c r="AH13" s="100">
        <f t="shared" si="24"/>
        <v>0</v>
      </c>
      <c r="AI13" s="100">
        <f t="shared" si="25"/>
        <v>0.5</v>
      </c>
      <c r="AJ13" s="101">
        <f t="shared" si="4"/>
        <v>1</v>
      </c>
      <c r="AK13" s="101">
        <f t="shared" si="26"/>
        <v>0</v>
      </c>
      <c r="AL13" s="101">
        <f>IF(ISERROR(Winners!$H72=1),0,IF(Winners!$H72=1,-2,0))</f>
        <v>0</v>
      </c>
      <c r="AM13" s="101">
        <f>IF(ISERROR(Winners!$H72=2),0,IF(Winners!$H72=2,-1,0))</f>
        <v>0</v>
      </c>
      <c r="AN13" s="101">
        <f>IF(ISERROR(Winners!$H72=3),0,IF(Winners!$H72=3,-0.5,0))</f>
        <v>0</v>
      </c>
      <c r="AO13" s="101">
        <f t="shared" si="5"/>
        <v>0</v>
      </c>
      <c r="AP13" s="101">
        <f t="shared" si="6"/>
        <v>0</v>
      </c>
      <c r="AQ13" s="101">
        <f t="shared" si="7"/>
        <v>0</v>
      </c>
      <c r="AR13" s="101">
        <f t="shared" si="27"/>
        <v>0</v>
      </c>
      <c r="AS13" s="101">
        <f t="shared" si="28"/>
        <v>0</v>
      </c>
      <c r="AT13" s="102">
        <f t="shared" si="8"/>
        <v>1</v>
      </c>
      <c r="AU13" s="102">
        <f t="shared" si="29"/>
        <v>0</v>
      </c>
      <c r="AV13" s="102">
        <f>IF(ISERROR(Winners!$H94=1),0,IF(Winners!$H94=1,-2,0))</f>
        <v>-2</v>
      </c>
      <c r="AW13" s="102">
        <f>IF(ISERROR(Winners!$H94=2),0,IF(Winners!$H94=2,-1,0))</f>
        <v>0</v>
      </c>
      <c r="AX13" s="102">
        <f>IF(ISERROR(Winners!$H94=3),0,IF(Winners!$H94=3,-0.5,0))</f>
        <v>0</v>
      </c>
      <c r="AY13" s="102">
        <f t="shared" si="9"/>
        <v>0</v>
      </c>
      <c r="AZ13" s="102">
        <f t="shared" si="10"/>
        <v>0</v>
      </c>
      <c r="BA13" s="102">
        <f t="shared" si="11"/>
        <v>0</v>
      </c>
      <c r="BB13" s="102">
        <f t="shared" si="30"/>
        <v>-0.5</v>
      </c>
      <c r="BC13" s="102">
        <f t="shared" si="31"/>
        <v>-2.5</v>
      </c>
    </row>
    <row r="14" spans="1:55" ht="12.75">
      <c r="A14" s="3" t="str">
        <f>Players!C4</f>
        <v>Giles Elliott</v>
      </c>
      <c r="B14" s="63">
        <f>Players!D4</f>
        <v>18</v>
      </c>
      <c r="C14" s="7">
        <f>VLOOKUP($A14,Scoreboard!$B$1:$F$21,2,FALSE)</f>
        <v>28</v>
      </c>
      <c r="D14" s="115">
        <f t="shared" si="0"/>
        <v>18.5</v>
      </c>
      <c r="E14" s="7">
        <f>VLOOKUP($A14,Scoreboard!$B$1:$F$21,3,FALSE)</f>
        <v>33</v>
      </c>
      <c r="F14" s="115">
        <f t="shared" si="12"/>
        <v>18.5</v>
      </c>
      <c r="G14" s="7">
        <f>VLOOKUP($A14,Scoreboard!$B$1:$F$21,4,FALSE)</f>
        <v>28</v>
      </c>
      <c r="H14" s="115">
        <f t="shared" si="13"/>
        <v>19</v>
      </c>
      <c r="I14" s="7">
        <f>VLOOKUP($A14,Scoreboard!$B$1:$F$21,5,FALSE)</f>
        <v>19</v>
      </c>
      <c r="J14" s="115">
        <f t="shared" si="14"/>
        <v>21</v>
      </c>
      <c r="K14" s="105"/>
      <c r="L14" s="105"/>
      <c r="M14" s="105"/>
      <c r="N14" s="105"/>
      <c r="O14" s="105"/>
      <c r="P14" s="99">
        <f t="shared" si="15"/>
        <v>1</v>
      </c>
      <c r="Q14" s="99">
        <f t="shared" si="16"/>
        <v>0</v>
      </c>
      <c r="R14" s="99">
        <f>IF(ISERROR(Winners!$H29=1),0,IF(Winners!$H29=1,-2,0))</f>
        <v>0</v>
      </c>
      <c r="S14" s="99">
        <f>IF(ISERROR(Winners!$H29=2),0,IF(Winners!$H29=2,-1,0))</f>
        <v>0</v>
      </c>
      <c r="T14" s="99">
        <f>IF(ISERROR(Winners!$H29=3),0,IF(Winners!$H29=3,-0.5,0))</f>
        <v>0</v>
      </c>
      <c r="U14" s="99">
        <f t="shared" si="17"/>
        <v>0.5</v>
      </c>
      <c r="V14" s="99">
        <f t="shared" si="18"/>
        <v>0</v>
      </c>
      <c r="W14" s="99">
        <f t="shared" si="19"/>
        <v>0</v>
      </c>
      <c r="X14" s="99">
        <f t="shared" si="20"/>
        <v>0</v>
      </c>
      <c r="Y14" s="99">
        <f t="shared" si="21"/>
        <v>0.5</v>
      </c>
      <c r="Z14" s="100">
        <f t="shared" si="22"/>
        <v>1</v>
      </c>
      <c r="AA14" s="100">
        <f t="shared" si="23"/>
        <v>0</v>
      </c>
      <c r="AB14" s="100">
        <f>IF(ISERROR(Winners!$H51=1),0,IF(Winners!$H51=1,-2,0))</f>
        <v>0</v>
      </c>
      <c r="AC14" s="100">
        <f>IF(ISERROR(Winners!$H51=2),0,IF(Winners!$H51=2,-1,0))</f>
        <v>0</v>
      </c>
      <c r="AD14" s="100">
        <f>IF(ISERROR(Winners!$H51=3),0,IF(Winners!$H51=3,-0.5,0))</f>
        <v>0</v>
      </c>
      <c r="AE14" s="100">
        <f t="shared" si="1"/>
        <v>0</v>
      </c>
      <c r="AF14" s="100">
        <f t="shared" si="2"/>
        <v>0</v>
      </c>
      <c r="AG14" s="100">
        <f t="shared" si="3"/>
        <v>0</v>
      </c>
      <c r="AH14" s="100">
        <f t="shared" si="24"/>
        <v>0</v>
      </c>
      <c r="AI14" s="100">
        <f t="shared" si="25"/>
        <v>0</v>
      </c>
      <c r="AJ14" s="101">
        <f t="shared" si="4"/>
        <v>1</v>
      </c>
      <c r="AK14" s="101">
        <f t="shared" si="26"/>
        <v>0</v>
      </c>
      <c r="AL14" s="101">
        <f>IF(ISERROR(Winners!$H73=1),0,IF(Winners!$H73=1,-2,0))</f>
        <v>0</v>
      </c>
      <c r="AM14" s="101">
        <f>IF(ISERROR(Winners!$H73=2),0,IF(Winners!$H73=2,-1,0))</f>
        <v>0</v>
      </c>
      <c r="AN14" s="101">
        <f>IF(ISERROR(Winners!$H73=3),0,IF(Winners!$H73=3,-0.5,0))</f>
        <v>0</v>
      </c>
      <c r="AO14" s="101">
        <f t="shared" si="5"/>
        <v>0.5</v>
      </c>
      <c r="AP14" s="101">
        <f t="shared" si="6"/>
        <v>0</v>
      </c>
      <c r="AQ14" s="101">
        <f t="shared" si="7"/>
        <v>0</v>
      </c>
      <c r="AR14" s="101">
        <f t="shared" si="27"/>
        <v>0</v>
      </c>
      <c r="AS14" s="101">
        <f t="shared" si="28"/>
        <v>0.5</v>
      </c>
      <c r="AT14" s="102">
        <f t="shared" si="8"/>
        <v>1</v>
      </c>
      <c r="AU14" s="102">
        <f t="shared" si="29"/>
        <v>0</v>
      </c>
      <c r="AV14" s="102">
        <f>IF(ISERROR(Winners!$H95=1),0,IF(Winners!$H95=1,-2,0))</f>
        <v>0</v>
      </c>
      <c r="AW14" s="102">
        <f>IF(ISERROR(Winners!$H95=2),0,IF(Winners!$H95=2,-1,0))</f>
        <v>0</v>
      </c>
      <c r="AX14" s="102">
        <f>IF(ISERROR(Winners!$H95=3),0,IF(Winners!$H95=3,-0.5,0))</f>
        <v>0</v>
      </c>
      <c r="AY14" s="102">
        <f t="shared" si="9"/>
        <v>0</v>
      </c>
      <c r="AZ14" s="102">
        <f t="shared" si="10"/>
        <v>0</v>
      </c>
      <c r="BA14" s="102">
        <f t="shared" si="11"/>
        <v>2</v>
      </c>
      <c r="BB14" s="102">
        <f t="shared" si="30"/>
        <v>0</v>
      </c>
      <c r="BC14" s="102">
        <f t="shared" si="31"/>
        <v>2</v>
      </c>
    </row>
    <row r="15" spans="1:55" ht="12.75">
      <c r="A15" s="3" t="str">
        <f>Players!C5</f>
        <v>Basil Davies</v>
      </c>
      <c r="B15" s="63">
        <f>Players!D5</f>
        <v>13</v>
      </c>
      <c r="C15" s="7">
        <f>VLOOKUP($A15,Scoreboard!$B$1:$F$21,2,FALSE)</f>
        <v>31</v>
      </c>
      <c r="D15" s="115">
        <f t="shared" si="0"/>
        <v>13.5</v>
      </c>
      <c r="E15" s="7">
        <f>VLOOKUP($A15,Scoreboard!$B$1:$F$21,3,FALSE)</f>
        <v>35</v>
      </c>
      <c r="F15" s="115">
        <f t="shared" si="12"/>
        <v>13.5</v>
      </c>
      <c r="G15" s="7">
        <f>VLOOKUP($A15,Scoreboard!$B$1:$F$21,4,FALSE)</f>
        <v>35</v>
      </c>
      <c r="H15" s="115">
        <f t="shared" si="13"/>
        <v>12.5</v>
      </c>
      <c r="I15" s="7">
        <f>VLOOKUP($A15,Scoreboard!$B$1:$F$21,5,FALSE)</f>
        <v>25</v>
      </c>
      <c r="J15" s="115">
        <f t="shared" si="14"/>
        <v>13.5</v>
      </c>
      <c r="K15" s="105"/>
      <c r="L15" s="105"/>
      <c r="M15" s="105"/>
      <c r="N15" s="105"/>
      <c r="O15" s="105"/>
      <c r="P15" s="99">
        <f t="shared" si="15"/>
        <v>1</v>
      </c>
      <c r="Q15" s="99">
        <f t="shared" si="16"/>
        <v>0</v>
      </c>
      <c r="R15" s="99">
        <f>IF(ISERROR(Winners!$H30=1),0,IF(Winners!$H30=1,-2,0))</f>
        <v>0</v>
      </c>
      <c r="S15" s="99">
        <f>IF(ISERROR(Winners!$H30=2),0,IF(Winners!$H30=2,-1,0))</f>
        <v>0</v>
      </c>
      <c r="T15" s="99">
        <f>IF(ISERROR(Winners!$H30=3),0,IF(Winners!$H30=3,-0.5,0))</f>
        <v>0</v>
      </c>
      <c r="U15" s="99">
        <f t="shared" si="17"/>
        <v>0.5</v>
      </c>
      <c r="V15" s="99">
        <f t="shared" si="18"/>
        <v>0</v>
      </c>
      <c r="W15" s="99">
        <f t="shared" si="19"/>
        <v>0</v>
      </c>
      <c r="X15" s="99">
        <f t="shared" si="20"/>
        <v>0</v>
      </c>
      <c r="Y15" s="99">
        <f t="shared" si="21"/>
        <v>0.5</v>
      </c>
      <c r="Z15" s="100">
        <f t="shared" si="22"/>
        <v>1</v>
      </c>
      <c r="AA15" s="100">
        <f t="shared" si="23"/>
        <v>0</v>
      </c>
      <c r="AB15" s="100">
        <f>IF(ISERROR(Winners!$H52=1),0,IF(Winners!$H52=1,-2,0))</f>
        <v>0</v>
      </c>
      <c r="AC15" s="100">
        <f>IF(ISERROR(Winners!$H52=2),0,IF(Winners!$H52=2,-1,0))</f>
        <v>0</v>
      </c>
      <c r="AD15" s="100">
        <f>IF(ISERROR(Winners!$H52=3),0,IF(Winners!$H52=3,-0.5,0))</f>
        <v>0</v>
      </c>
      <c r="AE15" s="100">
        <f t="shared" si="1"/>
        <v>0</v>
      </c>
      <c r="AF15" s="100">
        <f t="shared" si="2"/>
        <v>0</v>
      </c>
      <c r="AG15" s="100">
        <f t="shared" si="3"/>
        <v>0</v>
      </c>
      <c r="AH15" s="100">
        <f t="shared" si="24"/>
        <v>0</v>
      </c>
      <c r="AI15" s="100">
        <f t="shared" si="25"/>
        <v>0</v>
      </c>
      <c r="AJ15" s="101">
        <f t="shared" si="4"/>
        <v>1</v>
      </c>
      <c r="AK15" s="101">
        <f t="shared" si="26"/>
        <v>0</v>
      </c>
      <c r="AL15" s="101">
        <f>IF(ISERROR(Winners!$H74=1),0,IF(Winners!$H74=1,-2,0))</f>
        <v>0</v>
      </c>
      <c r="AM15" s="101">
        <f>IF(ISERROR(Winners!$H74=2),0,IF(Winners!$H74=2,-1,0))</f>
        <v>-1</v>
      </c>
      <c r="AN15" s="101">
        <f>IF(ISERROR(Winners!$H74=3),0,IF(Winners!$H74=3,-0.5,0))</f>
        <v>0</v>
      </c>
      <c r="AO15" s="101">
        <f t="shared" si="5"/>
        <v>0</v>
      </c>
      <c r="AP15" s="101">
        <f t="shared" si="6"/>
        <v>0</v>
      </c>
      <c r="AQ15" s="101">
        <f t="shared" si="7"/>
        <v>0</v>
      </c>
      <c r="AR15" s="101">
        <f t="shared" si="27"/>
        <v>0</v>
      </c>
      <c r="AS15" s="101">
        <f t="shared" si="28"/>
        <v>-1</v>
      </c>
      <c r="AT15" s="102">
        <f t="shared" si="8"/>
        <v>1</v>
      </c>
      <c r="AU15" s="102">
        <f t="shared" si="29"/>
        <v>0</v>
      </c>
      <c r="AV15" s="102">
        <f>IF(ISERROR(Winners!$H96=1),0,IF(Winners!$H96=1,-2,0))</f>
        <v>0</v>
      </c>
      <c r="AW15" s="102">
        <f>IF(ISERROR(Winners!$H96=2),0,IF(Winners!$H96=2,-1,0))</f>
        <v>0</v>
      </c>
      <c r="AX15" s="102">
        <f>IF(ISERROR(Winners!$H96=3),0,IF(Winners!$H96=3,-0.5,0))</f>
        <v>0</v>
      </c>
      <c r="AY15" s="102">
        <f t="shared" si="9"/>
        <v>0</v>
      </c>
      <c r="AZ15" s="102">
        <f t="shared" si="10"/>
        <v>1</v>
      </c>
      <c r="BA15" s="102">
        <f t="shared" si="11"/>
        <v>0</v>
      </c>
      <c r="BB15" s="102">
        <f t="shared" si="30"/>
        <v>0</v>
      </c>
      <c r="BC15" s="102">
        <f t="shared" si="31"/>
        <v>1</v>
      </c>
    </row>
    <row r="16" spans="1:55" ht="12.75">
      <c r="A16" s="3" t="str">
        <f>Players!C6</f>
        <v>Dave Chapman</v>
      </c>
      <c r="B16" s="63">
        <f>Players!D6</f>
        <v>1</v>
      </c>
      <c r="C16" s="7">
        <f>VLOOKUP($A16,Scoreboard!$B$1:$F$21,2,FALSE)</f>
        <v>36</v>
      </c>
      <c r="D16" s="115">
        <f t="shared" si="0"/>
        <v>1</v>
      </c>
      <c r="E16" s="7">
        <f>VLOOKUP($A16,Scoreboard!$B$1:$F$21,3,FALSE)</f>
        <v>30</v>
      </c>
      <c r="F16" s="115">
        <f t="shared" si="12"/>
        <v>1.5</v>
      </c>
      <c r="G16" s="7">
        <f>VLOOKUP($A16,Scoreboard!$B$1:$F$21,4,FALSE)</f>
        <v>35</v>
      </c>
      <c r="H16" s="115">
        <f t="shared" si="13"/>
        <v>1</v>
      </c>
      <c r="I16" s="7">
        <f>VLOOKUP($A16,Scoreboard!$B$1:$F$21,5,FALSE)</f>
        <v>24</v>
      </c>
      <c r="J16" s="115">
        <f t="shared" si="14"/>
        <v>2</v>
      </c>
      <c r="K16" s="105"/>
      <c r="L16" s="105"/>
      <c r="M16" s="105"/>
      <c r="N16" s="105"/>
      <c r="O16" s="105"/>
      <c r="P16" s="99">
        <f t="shared" si="15"/>
        <v>1</v>
      </c>
      <c r="Q16" s="99">
        <f t="shared" si="16"/>
        <v>0</v>
      </c>
      <c r="R16" s="99">
        <f>IF(ISERROR(Winners!$H31=1),0,IF(Winners!$H31=1,-2,0))</f>
        <v>0</v>
      </c>
      <c r="S16" s="99">
        <f>IF(ISERROR(Winners!$H31=2),0,IF(Winners!$H31=2,-1,0))</f>
        <v>0</v>
      </c>
      <c r="T16" s="99">
        <f>IF(ISERROR(Winners!$H31=3),0,IF(Winners!$H31=3,-0.5,0))</f>
        <v>0</v>
      </c>
      <c r="U16" s="99">
        <f t="shared" si="17"/>
        <v>0</v>
      </c>
      <c r="V16" s="99">
        <f t="shared" si="18"/>
        <v>0</v>
      </c>
      <c r="W16" s="99">
        <f t="shared" si="19"/>
        <v>0</v>
      </c>
      <c r="X16" s="99">
        <f t="shared" si="20"/>
        <v>0</v>
      </c>
      <c r="Y16" s="99">
        <f t="shared" si="21"/>
        <v>0</v>
      </c>
      <c r="Z16" s="100">
        <f t="shared" si="22"/>
        <v>1</v>
      </c>
      <c r="AA16" s="100">
        <f t="shared" si="23"/>
        <v>0</v>
      </c>
      <c r="AB16" s="100">
        <f>IF(ISERROR(Winners!$H53=1),0,IF(Winners!$H53=1,-2,0))</f>
        <v>0</v>
      </c>
      <c r="AC16" s="100">
        <f>IF(ISERROR(Winners!$H53=2),0,IF(Winners!$H53=2,-1,0))</f>
        <v>0</v>
      </c>
      <c r="AD16" s="100">
        <f>IF(ISERROR(Winners!$H53=3),0,IF(Winners!$H53=3,-0.5,0))</f>
        <v>0</v>
      </c>
      <c r="AE16" s="100">
        <f t="shared" si="1"/>
        <v>0.5</v>
      </c>
      <c r="AF16" s="100">
        <f t="shared" si="2"/>
        <v>0</v>
      </c>
      <c r="AG16" s="100">
        <f t="shared" si="3"/>
        <v>0</v>
      </c>
      <c r="AH16" s="100">
        <f t="shared" si="24"/>
        <v>0</v>
      </c>
      <c r="AI16" s="100">
        <f t="shared" si="25"/>
        <v>0.5</v>
      </c>
      <c r="AJ16" s="101">
        <f t="shared" si="4"/>
        <v>1</v>
      </c>
      <c r="AK16" s="101">
        <f t="shared" si="26"/>
        <v>0</v>
      </c>
      <c r="AL16" s="101">
        <f>IF(ISERROR(Winners!$H75=1),0,IF(Winners!$H75=1,-2,0))</f>
        <v>0</v>
      </c>
      <c r="AM16" s="101">
        <f>IF(ISERROR(Winners!$H75=2),0,IF(Winners!$H75=2,-1,0))</f>
        <v>0</v>
      </c>
      <c r="AN16" s="101">
        <f>IF(ISERROR(Winners!$H75=3),0,IF(Winners!$H75=3,-0.5,0))</f>
        <v>-0.5</v>
      </c>
      <c r="AO16" s="101">
        <f t="shared" si="5"/>
        <v>0</v>
      </c>
      <c r="AP16" s="101">
        <f t="shared" si="6"/>
        <v>0</v>
      </c>
      <c r="AQ16" s="101">
        <f t="shared" si="7"/>
        <v>0</v>
      </c>
      <c r="AR16" s="101">
        <f t="shared" si="27"/>
        <v>0</v>
      </c>
      <c r="AS16" s="101">
        <f t="shared" si="28"/>
        <v>-0.5</v>
      </c>
      <c r="AT16" s="102">
        <f t="shared" si="8"/>
        <v>1</v>
      </c>
      <c r="AU16" s="102">
        <f t="shared" si="29"/>
        <v>0</v>
      </c>
      <c r="AV16" s="102">
        <f>IF(ISERROR(Winners!$H97=1),0,IF(Winners!$H97=1,-2,0))</f>
        <v>0</v>
      </c>
      <c r="AW16" s="102">
        <f>IF(ISERROR(Winners!$H97=2),0,IF(Winners!$H97=2,-1,0))</f>
        <v>0</v>
      </c>
      <c r="AX16" s="102">
        <f>IF(ISERROR(Winners!$H97=3),0,IF(Winners!$H97=3,-0.5,0))</f>
        <v>0</v>
      </c>
      <c r="AY16" s="102">
        <f t="shared" si="9"/>
        <v>0</v>
      </c>
      <c r="AZ16" s="102">
        <f t="shared" si="10"/>
        <v>1</v>
      </c>
      <c r="BA16" s="102">
        <f t="shared" si="11"/>
        <v>0</v>
      </c>
      <c r="BB16" s="102">
        <f t="shared" si="30"/>
        <v>0</v>
      </c>
      <c r="BC16" s="102">
        <f t="shared" si="31"/>
        <v>1</v>
      </c>
    </row>
    <row r="17" spans="1:55" ht="12.75">
      <c r="A17" s="3" t="str">
        <f>Players!C7</f>
        <v>Ali Barnett</v>
      </c>
      <c r="B17" s="63">
        <f>Players!D7</f>
        <v>23</v>
      </c>
      <c r="C17" s="7">
        <f>VLOOKUP($A17,Scoreboard!$B$1:$F$21,2,FALSE)</f>
        <v>25</v>
      </c>
      <c r="D17" s="115">
        <f t="shared" si="0"/>
        <v>25</v>
      </c>
      <c r="E17" s="7">
        <f>VLOOKUP($A17,Scoreboard!$B$1:$F$21,3,FALSE)</f>
        <v>29</v>
      </c>
      <c r="F17" s="115">
        <f t="shared" si="12"/>
        <v>25.5</v>
      </c>
      <c r="G17" s="7">
        <f>VLOOKUP($A17,Scoreboard!$B$1:$F$21,4,FALSE)</f>
        <v>24</v>
      </c>
      <c r="H17" s="115">
        <f t="shared" si="13"/>
        <v>26.5</v>
      </c>
      <c r="I17" s="7">
        <f>VLOOKUP($A17,Scoreboard!$B$1:$F$21,5,FALSE)</f>
        <v>26</v>
      </c>
      <c r="J17" s="115">
        <f t="shared" si="14"/>
        <v>27.5</v>
      </c>
      <c r="K17" s="105"/>
      <c r="L17" s="105"/>
      <c r="M17" s="105"/>
      <c r="N17" s="105"/>
      <c r="O17" s="105"/>
      <c r="P17" s="99">
        <f t="shared" si="15"/>
        <v>1</v>
      </c>
      <c r="Q17" s="99">
        <f t="shared" si="16"/>
        <v>1</v>
      </c>
      <c r="R17" s="99">
        <f>IF(ISERROR(Winners!$H32=1),0,IF(Winners!$H32=1,-2,0))</f>
        <v>0</v>
      </c>
      <c r="S17" s="99">
        <f>IF(ISERROR(Winners!$H32=2),0,IF(Winners!$H32=2,-1,0))</f>
        <v>0</v>
      </c>
      <c r="T17" s="99">
        <f>IF(ISERROR(Winners!$H32=3),0,IF(Winners!$H32=3,-0.5,0))</f>
        <v>0</v>
      </c>
      <c r="U17" s="99">
        <f t="shared" si="17"/>
        <v>0</v>
      </c>
      <c r="V17" s="99">
        <f t="shared" si="18"/>
        <v>1</v>
      </c>
      <c r="W17" s="99">
        <f t="shared" si="19"/>
        <v>0</v>
      </c>
      <c r="X17" s="99">
        <f t="shared" si="20"/>
        <v>0</v>
      </c>
      <c r="Y17" s="99">
        <f t="shared" si="21"/>
        <v>2</v>
      </c>
      <c r="Z17" s="100">
        <f t="shared" si="22"/>
        <v>1</v>
      </c>
      <c r="AA17" s="100">
        <f t="shared" si="23"/>
        <v>0</v>
      </c>
      <c r="AB17" s="100">
        <f>IF(ISERROR(Winners!$H54=1),0,IF(Winners!$H54=1,-2,0))</f>
        <v>0</v>
      </c>
      <c r="AC17" s="100">
        <f>IF(ISERROR(Winners!$H54=2),0,IF(Winners!$H54=2,-1,0))</f>
        <v>0</v>
      </c>
      <c r="AD17" s="100">
        <f>IF(ISERROR(Winners!$H54=3),0,IF(Winners!$H54=3,-0.5,0))</f>
        <v>0</v>
      </c>
      <c r="AE17" s="100">
        <f t="shared" si="1"/>
        <v>0.5</v>
      </c>
      <c r="AF17" s="100">
        <f t="shared" si="2"/>
        <v>0</v>
      </c>
      <c r="AG17" s="100">
        <f t="shared" si="3"/>
        <v>0</v>
      </c>
      <c r="AH17" s="100">
        <f t="shared" si="24"/>
        <v>0</v>
      </c>
      <c r="AI17" s="100">
        <f t="shared" si="25"/>
        <v>0.5</v>
      </c>
      <c r="AJ17" s="101">
        <f t="shared" si="4"/>
        <v>1</v>
      </c>
      <c r="AK17" s="101">
        <f t="shared" si="26"/>
        <v>0</v>
      </c>
      <c r="AL17" s="101">
        <f>IF(ISERROR(Winners!$H76=1),0,IF(Winners!$H76=1,-2,0))</f>
        <v>0</v>
      </c>
      <c r="AM17" s="101">
        <f>IF(ISERROR(Winners!$H76=2),0,IF(Winners!$H76=2,-1,0))</f>
        <v>0</v>
      </c>
      <c r="AN17" s="101">
        <f>IF(ISERROR(Winners!$H76=3),0,IF(Winners!$H76=3,-0.5,0))</f>
        <v>0</v>
      </c>
      <c r="AO17" s="101">
        <f t="shared" si="5"/>
        <v>0</v>
      </c>
      <c r="AP17" s="101">
        <f t="shared" si="6"/>
        <v>1</v>
      </c>
      <c r="AQ17" s="101">
        <f t="shared" si="7"/>
        <v>0</v>
      </c>
      <c r="AR17" s="101">
        <f t="shared" si="27"/>
        <v>0</v>
      </c>
      <c r="AS17" s="101">
        <f t="shared" si="28"/>
        <v>1</v>
      </c>
      <c r="AT17" s="102">
        <f t="shared" si="8"/>
        <v>1</v>
      </c>
      <c r="AU17" s="102">
        <f t="shared" si="29"/>
        <v>0</v>
      </c>
      <c r="AV17" s="102">
        <f>IF(ISERROR(Winners!$H98=1),0,IF(Winners!$H98=1,-2,0))</f>
        <v>0</v>
      </c>
      <c r="AW17" s="102">
        <f>IF(ISERROR(Winners!$H98=2),0,IF(Winners!$H98=2,-1,0))</f>
        <v>0</v>
      </c>
      <c r="AX17" s="102">
        <f>IF(ISERROR(Winners!$H98=3),0,IF(Winners!$H98=3,-0.5,0))</f>
        <v>0</v>
      </c>
      <c r="AY17" s="102">
        <f t="shared" si="9"/>
        <v>0</v>
      </c>
      <c r="AZ17" s="102">
        <f t="shared" si="10"/>
        <v>1</v>
      </c>
      <c r="BA17" s="102">
        <f t="shared" si="11"/>
        <v>0</v>
      </c>
      <c r="BB17" s="102">
        <f t="shared" si="30"/>
        <v>0</v>
      </c>
      <c r="BC17" s="102">
        <f t="shared" si="31"/>
        <v>1</v>
      </c>
    </row>
    <row r="18" spans="1:55" ht="12.75">
      <c r="A18" s="3" t="str">
        <f>Players!C8</f>
        <v>Adam Smith</v>
      </c>
      <c r="B18" s="63">
        <f>Players!D8</f>
        <v>18</v>
      </c>
      <c r="C18" s="7">
        <f>VLOOKUP($A18,Scoreboard!$B$1:$F$21,2,FALSE)</f>
        <v>32</v>
      </c>
      <c r="D18" s="115">
        <f t="shared" si="0"/>
        <v>18.5</v>
      </c>
      <c r="E18" s="7">
        <f>VLOOKUP($A18,Scoreboard!$B$1:$F$21,3,FALSE)</f>
        <v>25</v>
      </c>
      <c r="F18" s="115">
        <f t="shared" si="12"/>
        <v>20.5</v>
      </c>
      <c r="G18" s="7">
        <f>VLOOKUP($A18,Scoreboard!$B$1:$F$21,4,FALSE)</f>
        <v>30</v>
      </c>
      <c r="H18" s="115">
        <f t="shared" si="13"/>
        <v>21</v>
      </c>
      <c r="I18" s="7">
        <f>VLOOKUP($A18,Scoreboard!$B$1:$F$21,5,FALSE)</f>
        <v>26</v>
      </c>
      <c r="J18" s="115">
        <f t="shared" si="14"/>
        <v>22</v>
      </c>
      <c r="K18" s="105"/>
      <c r="L18" s="105"/>
      <c r="M18" s="105"/>
      <c r="N18" s="105"/>
      <c r="O18" s="105"/>
      <c r="P18" s="99">
        <f t="shared" si="15"/>
        <v>1</v>
      </c>
      <c r="Q18" s="99">
        <f t="shared" si="16"/>
        <v>0</v>
      </c>
      <c r="R18" s="99">
        <f>IF(ISERROR(Winners!$H33=1),0,IF(Winners!$H33=1,-2,0))</f>
        <v>0</v>
      </c>
      <c r="S18" s="99">
        <f>IF(ISERROR(Winners!$H33=2),0,IF(Winners!$H33=2,-1,0))</f>
        <v>0</v>
      </c>
      <c r="T18" s="99">
        <f>IF(ISERROR(Winners!$H33=3),0,IF(Winners!$H33=3,-0.5,0))</f>
        <v>0</v>
      </c>
      <c r="U18" s="99">
        <f t="shared" si="17"/>
        <v>0.5</v>
      </c>
      <c r="V18" s="99">
        <f t="shared" si="18"/>
        <v>0</v>
      </c>
      <c r="W18" s="99">
        <f t="shared" si="19"/>
        <v>0</v>
      </c>
      <c r="X18" s="99">
        <f t="shared" si="20"/>
        <v>0</v>
      </c>
      <c r="Y18" s="99">
        <f t="shared" si="21"/>
        <v>0.5</v>
      </c>
      <c r="Z18" s="100">
        <f t="shared" si="22"/>
        <v>1</v>
      </c>
      <c r="AA18" s="100">
        <f t="shared" si="23"/>
        <v>1</v>
      </c>
      <c r="AB18" s="100">
        <f>IF(ISERROR(Winners!$H55=1),0,IF(Winners!$H55=1,-2,0))</f>
        <v>0</v>
      </c>
      <c r="AC18" s="100">
        <f>IF(ISERROR(Winners!$H55=2),0,IF(Winners!$H55=2,-1,0))</f>
        <v>0</v>
      </c>
      <c r="AD18" s="100">
        <f>IF(ISERROR(Winners!$H55=3),0,IF(Winners!$H55=3,-0.5,0))</f>
        <v>0</v>
      </c>
      <c r="AE18" s="100">
        <f t="shared" si="1"/>
        <v>0</v>
      </c>
      <c r="AF18" s="100">
        <f t="shared" si="2"/>
        <v>1</v>
      </c>
      <c r="AG18" s="100">
        <f t="shared" si="3"/>
        <v>0</v>
      </c>
      <c r="AH18" s="100">
        <f t="shared" si="24"/>
        <v>0</v>
      </c>
      <c r="AI18" s="100">
        <f t="shared" si="25"/>
        <v>2</v>
      </c>
      <c r="AJ18" s="101">
        <f t="shared" si="4"/>
        <v>1</v>
      </c>
      <c r="AK18" s="101">
        <f t="shared" si="26"/>
        <v>0</v>
      </c>
      <c r="AL18" s="101">
        <f>IF(ISERROR(Winners!$H77=1),0,IF(Winners!$H77=1,-2,0))</f>
        <v>0</v>
      </c>
      <c r="AM18" s="101">
        <f>IF(ISERROR(Winners!$H77=2),0,IF(Winners!$H77=2,-1,0))</f>
        <v>0</v>
      </c>
      <c r="AN18" s="101">
        <f>IF(ISERROR(Winners!$H77=3),0,IF(Winners!$H77=3,-0.5,0))</f>
        <v>0</v>
      </c>
      <c r="AO18" s="101">
        <f t="shared" si="5"/>
        <v>0.5</v>
      </c>
      <c r="AP18" s="101">
        <f t="shared" si="6"/>
        <v>0</v>
      </c>
      <c r="AQ18" s="101">
        <f t="shared" si="7"/>
        <v>0</v>
      </c>
      <c r="AR18" s="101">
        <f t="shared" si="27"/>
        <v>0</v>
      </c>
      <c r="AS18" s="101">
        <f t="shared" si="28"/>
        <v>0.5</v>
      </c>
      <c r="AT18" s="102">
        <f t="shared" si="8"/>
        <v>1</v>
      </c>
      <c r="AU18" s="102">
        <f t="shared" si="29"/>
        <v>0</v>
      </c>
      <c r="AV18" s="102">
        <f>IF(ISERROR(Winners!$H99=1),0,IF(Winners!$H99=1,-2,0))</f>
        <v>0</v>
      </c>
      <c r="AW18" s="102">
        <f>IF(ISERROR(Winners!$H99=2),0,IF(Winners!$H99=2,-1,0))</f>
        <v>0</v>
      </c>
      <c r="AX18" s="102">
        <f>IF(ISERROR(Winners!$H99=3),0,IF(Winners!$H99=3,-0.5,0))</f>
        <v>0</v>
      </c>
      <c r="AY18" s="102">
        <f t="shared" si="9"/>
        <v>0</v>
      </c>
      <c r="AZ18" s="102">
        <f t="shared" si="10"/>
        <v>1</v>
      </c>
      <c r="BA18" s="102">
        <f t="shared" si="11"/>
        <v>0</v>
      </c>
      <c r="BB18" s="102">
        <f t="shared" si="30"/>
        <v>0</v>
      </c>
      <c r="BC18" s="102">
        <f t="shared" si="31"/>
        <v>1</v>
      </c>
    </row>
    <row r="19" spans="1:55" ht="12.75">
      <c r="A19" s="3" t="str">
        <f>Players!C9</f>
        <v>Luke Gallagher</v>
      </c>
      <c r="B19" s="63">
        <f>Players!D9</f>
        <v>22</v>
      </c>
      <c r="C19" s="7">
        <f>VLOOKUP($A19,Scoreboard!$B$1:$F$21,2,FALSE)</f>
        <v>32</v>
      </c>
      <c r="D19" s="115">
        <f t="shared" si="0"/>
        <v>22.5</v>
      </c>
      <c r="E19" s="7">
        <f>VLOOKUP($A19,Scoreboard!$B$1:$F$21,3,FALSE)</f>
        <v>36</v>
      </c>
      <c r="F19" s="115">
        <f t="shared" si="12"/>
        <v>22.5</v>
      </c>
      <c r="G19" s="7">
        <f>VLOOKUP($A19,Scoreboard!$B$1:$F$21,4,FALSE)</f>
        <v>31</v>
      </c>
      <c r="H19" s="115">
        <f t="shared" si="13"/>
        <v>23</v>
      </c>
      <c r="I19" s="7">
        <f>VLOOKUP($A19,Scoreboard!$B$1:$F$21,5,FALSE)</f>
        <v>18</v>
      </c>
      <c r="J19" s="115">
        <f t="shared" si="14"/>
        <v>25</v>
      </c>
      <c r="K19" s="105"/>
      <c r="L19" s="105"/>
      <c r="M19" s="105"/>
      <c r="N19" s="105"/>
      <c r="O19" s="105"/>
      <c r="P19" s="99">
        <f t="shared" si="15"/>
        <v>1</v>
      </c>
      <c r="Q19" s="99">
        <f t="shared" si="16"/>
        <v>0</v>
      </c>
      <c r="R19" s="99">
        <f>IF(ISERROR(Winners!$H34=1),0,IF(Winners!$H34=1,-2,0))</f>
        <v>0</v>
      </c>
      <c r="S19" s="99">
        <f>IF(ISERROR(Winners!$H34=2),0,IF(Winners!$H34=2,-1,0))</f>
        <v>0</v>
      </c>
      <c r="T19" s="99">
        <f>IF(ISERROR(Winners!$H34=3),0,IF(Winners!$H34=3,-0.5,0))</f>
        <v>0</v>
      </c>
      <c r="U19" s="99">
        <f t="shared" si="17"/>
        <v>0.5</v>
      </c>
      <c r="V19" s="99">
        <f t="shared" si="18"/>
        <v>0</v>
      </c>
      <c r="W19" s="99">
        <f t="shared" si="19"/>
        <v>0</v>
      </c>
      <c r="X19" s="99">
        <f t="shared" si="20"/>
        <v>0</v>
      </c>
      <c r="Y19" s="99">
        <f t="shared" si="21"/>
        <v>0.5</v>
      </c>
      <c r="Z19" s="100">
        <f t="shared" si="22"/>
        <v>1</v>
      </c>
      <c r="AA19" s="100">
        <f t="shared" si="23"/>
        <v>0</v>
      </c>
      <c r="AB19" s="100">
        <f>IF(ISERROR(Winners!$H56=1),0,IF(Winners!$H56=1,-2,0))</f>
        <v>0</v>
      </c>
      <c r="AC19" s="100">
        <f>IF(ISERROR(Winners!$H56=2),0,IF(Winners!$H56=2,-1,0))</f>
        <v>0</v>
      </c>
      <c r="AD19" s="100">
        <f>IF(ISERROR(Winners!$H56=3),0,IF(Winners!$H56=3,-0.5,0))</f>
        <v>0</v>
      </c>
      <c r="AE19" s="100">
        <f t="shared" si="1"/>
        <v>0</v>
      </c>
      <c r="AF19" s="100">
        <f t="shared" si="2"/>
        <v>0</v>
      </c>
      <c r="AG19" s="100">
        <f t="shared" si="3"/>
        <v>0</v>
      </c>
      <c r="AH19" s="100">
        <f t="shared" si="24"/>
        <v>0</v>
      </c>
      <c r="AI19" s="100">
        <f t="shared" si="25"/>
        <v>0</v>
      </c>
      <c r="AJ19" s="101">
        <f t="shared" si="4"/>
        <v>1</v>
      </c>
      <c r="AK19" s="101">
        <f t="shared" si="26"/>
        <v>0</v>
      </c>
      <c r="AL19" s="101">
        <f>IF(ISERROR(Winners!$H78=1),0,IF(Winners!$H78=1,-2,0))</f>
        <v>0</v>
      </c>
      <c r="AM19" s="101">
        <f>IF(ISERROR(Winners!$H78=2),0,IF(Winners!$H78=2,-1,0))</f>
        <v>0</v>
      </c>
      <c r="AN19" s="101">
        <f>IF(ISERROR(Winners!$H78=3),0,IF(Winners!$H78=3,-0.5,0))</f>
        <v>0</v>
      </c>
      <c r="AO19" s="101">
        <f t="shared" si="5"/>
        <v>0.5</v>
      </c>
      <c r="AP19" s="101">
        <f t="shared" si="6"/>
        <v>0</v>
      </c>
      <c r="AQ19" s="101">
        <f t="shared" si="7"/>
        <v>0</v>
      </c>
      <c r="AR19" s="101">
        <f t="shared" si="27"/>
        <v>0</v>
      </c>
      <c r="AS19" s="101">
        <f t="shared" si="28"/>
        <v>0.5</v>
      </c>
      <c r="AT19" s="102">
        <f t="shared" si="8"/>
        <v>1</v>
      </c>
      <c r="AU19" s="102">
        <f t="shared" si="29"/>
        <v>0</v>
      </c>
      <c r="AV19" s="102">
        <f>IF(ISERROR(Winners!$H100=1),0,IF(Winners!$H100=1,-2,0))</f>
        <v>0</v>
      </c>
      <c r="AW19" s="102">
        <f>IF(ISERROR(Winners!$H100=2),0,IF(Winners!$H100=2,-1,0))</f>
        <v>0</v>
      </c>
      <c r="AX19" s="102">
        <f>IF(ISERROR(Winners!$H100=3),0,IF(Winners!$H100=3,-0.5,0))</f>
        <v>0</v>
      </c>
      <c r="AY19" s="102">
        <f t="shared" si="9"/>
        <v>0</v>
      </c>
      <c r="AZ19" s="102">
        <f t="shared" si="10"/>
        <v>0</v>
      </c>
      <c r="BA19" s="102">
        <f t="shared" si="11"/>
        <v>2</v>
      </c>
      <c r="BB19" s="102">
        <f t="shared" si="30"/>
        <v>0</v>
      </c>
      <c r="BC19" s="102">
        <f t="shared" si="31"/>
        <v>2</v>
      </c>
    </row>
    <row r="20" spans="1:55" ht="12.75">
      <c r="A20" s="3" t="str">
        <f>Players!C10</f>
        <v>Moray Fleming</v>
      </c>
      <c r="B20" s="63">
        <f>Players!D10</f>
        <v>13</v>
      </c>
      <c r="C20" s="7">
        <f>VLOOKUP($A20,Scoreboard!$B$1:$F$21,2,FALSE)</f>
        <v>33</v>
      </c>
      <c r="D20" s="115">
        <f t="shared" si="0"/>
        <v>13</v>
      </c>
      <c r="E20" s="7">
        <f>VLOOKUP($A20,Scoreboard!$B$1:$F$21,3,FALSE)</f>
        <v>37</v>
      </c>
      <c r="F20" s="115">
        <f t="shared" si="12"/>
        <v>12.5</v>
      </c>
      <c r="G20" s="7">
        <f>VLOOKUP($A20,Scoreboard!$B$1:$F$21,4,FALSE)</f>
        <v>31</v>
      </c>
      <c r="H20" s="115">
        <f t="shared" si="13"/>
        <v>13</v>
      </c>
      <c r="I20" s="7">
        <f>VLOOKUP($A20,Scoreboard!$B$1:$F$21,5,FALSE)</f>
        <v>30</v>
      </c>
      <c r="J20" s="115">
        <f t="shared" si="14"/>
        <v>13.5</v>
      </c>
      <c r="K20" s="105"/>
      <c r="L20" s="105"/>
      <c r="M20" s="105"/>
      <c r="N20" s="105"/>
      <c r="O20" s="105"/>
      <c r="P20" s="99">
        <f t="shared" si="15"/>
        <v>1</v>
      </c>
      <c r="Q20" s="99">
        <f t="shared" si="16"/>
        <v>0</v>
      </c>
      <c r="R20" s="99">
        <f>IF(ISERROR(Winners!$H35=1),0,IF(Winners!$H35=1,-2,0))</f>
        <v>0</v>
      </c>
      <c r="S20" s="99">
        <f>IF(ISERROR(Winners!$H35=2),0,IF(Winners!$H35=2,-1,0))</f>
        <v>0</v>
      </c>
      <c r="T20" s="99">
        <f>IF(ISERROR(Winners!$H35=3),0,IF(Winners!$H35=3,-0.5,0))</f>
        <v>0</v>
      </c>
      <c r="U20" s="99">
        <f t="shared" si="17"/>
        <v>0</v>
      </c>
      <c r="V20" s="99">
        <f t="shared" si="18"/>
        <v>0</v>
      </c>
      <c r="W20" s="99">
        <f t="shared" si="19"/>
        <v>0</v>
      </c>
      <c r="X20" s="99">
        <f t="shared" si="20"/>
        <v>0</v>
      </c>
      <c r="Y20" s="99">
        <f t="shared" si="21"/>
        <v>0</v>
      </c>
      <c r="Z20" s="100">
        <f t="shared" si="22"/>
        <v>1</v>
      </c>
      <c r="AA20" s="100">
        <f t="shared" si="23"/>
        <v>0</v>
      </c>
      <c r="AB20" s="100">
        <f>IF(ISERROR(Winners!$H57=1),0,IF(Winners!$H57=1,-2,0))</f>
        <v>0</v>
      </c>
      <c r="AC20" s="100">
        <f>IF(ISERROR(Winners!$H57=2),0,IF(Winners!$H57=2,-1,0))</f>
        <v>0</v>
      </c>
      <c r="AD20" s="100">
        <f>IF(ISERROR(Winners!$H57=3),0,IF(Winners!$H57=3,-0.5,0))</f>
        <v>0</v>
      </c>
      <c r="AE20" s="100">
        <f t="shared" si="1"/>
        <v>0</v>
      </c>
      <c r="AF20" s="100">
        <f t="shared" si="2"/>
        <v>0</v>
      </c>
      <c r="AG20" s="100">
        <f t="shared" si="3"/>
        <v>0</v>
      </c>
      <c r="AH20" s="100">
        <f t="shared" si="24"/>
        <v>-0.5</v>
      </c>
      <c r="AI20" s="100">
        <f t="shared" si="25"/>
        <v>-0.5</v>
      </c>
      <c r="AJ20" s="101">
        <f t="shared" si="4"/>
        <v>1</v>
      </c>
      <c r="AK20" s="101">
        <f t="shared" si="26"/>
        <v>0</v>
      </c>
      <c r="AL20" s="101">
        <f>IF(ISERROR(Winners!$H79=1),0,IF(Winners!$H79=1,-2,0))</f>
        <v>0</v>
      </c>
      <c r="AM20" s="101">
        <f>IF(ISERROR(Winners!$H79=2),0,IF(Winners!$H79=2,-1,0))</f>
        <v>0</v>
      </c>
      <c r="AN20" s="101">
        <f>IF(ISERROR(Winners!$H79=3),0,IF(Winners!$H79=3,-0.5,0))</f>
        <v>0</v>
      </c>
      <c r="AO20" s="101">
        <f t="shared" si="5"/>
        <v>0.5</v>
      </c>
      <c r="AP20" s="101">
        <f t="shared" si="6"/>
        <v>0</v>
      </c>
      <c r="AQ20" s="101">
        <f t="shared" si="7"/>
        <v>0</v>
      </c>
      <c r="AR20" s="101">
        <f t="shared" si="27"/>
        <v>0</v>
      </c>
      <c r="AS20" s="101">
        <f t="shared" si="28"/>
        <v>0.5</v>
      </c>
      <c r="AT20" s="102">
        <f t="shared" si="8"/>
        <v>1</v>
      </c>
      <c r="AU20" s="102">
        <f t="shared" si="29"/>
        <v>0</v>
      </c>
      <c r="AV20" s="102">
        <f>IF(ISERROR(Winners!$H101=1),0,IF(Winners!$H101=1,-2,0))</f>
        <v>0</v>
      </c>
      <c r="AW20" s="102">
        <f>IF(ISERROR(Winners!$H101=2),0,IF(Winners!$H101=2,-1,0))</f>
        <v>0</v>
      </c>
      <c r="AX20" s="102">
        <f>IF(ISERROR(Winners!$H101=3),0,IF(Winners!$H101=3,-0.5,0))</f>
        <v>0</v>
      </c>
      <c r="AY20" s="102">
        <f t="shared" si="9"/>
        <v>0.5</v>
      </c>
      <c r="AZ20" s="102">
        <f t="shared" si="10"/>
        <v>0</v>
      </c>
      <c r="BA20" s="102">
        <f t="shared" si="11"/>
        <v>0</v>
      </c>
      <c r="BB20" s="102">
        <f t="shared" si="30"/>
        <v>0</v>
      </c>
      <c r="BC20" s="102">
        <f t="shared" si="31"/>
        <v>0.5</v>
      </c>
    </row>
    <row r="21" spans="1:55" ht="12.75">
      <c r="A21" s="3" t="str">
        <f>Players!C11</f>
        <v>Tony Williams</v>
      </c>
      <c r="B21" s="63">
        <f>Players!D11</f>
        <v>13</v>
      </c>
      <c r="C21" s="7">
        <f>VLOOKUP($A21,Scoreboard!$B$1:$F$21,2,FALSE)</f>
        <v>25</v>
      </c>
      <c r="D21" s="115">
        <f t="shared" si="0"/>
        <v>15</v>
      </c>
      <c r="E21" s="7">
        <f>VLOOKUP($A21,Scoreboard!$B$1:$F$21,3,FALSE)</f>
        <v>31</v>
      </c>
      <c r="F21" s="115">
        <f t="shared" si="12"/>
        <v>15.5</v>
      </c>
      <c r="G21" s="7">
        <f>VLOOKUP($A21,Scoreboard!$B$1:$F$21,4,FALSE)</f>
        <v>30</v>
      </c>
      <c r="H21" s="115">
        <f t="shared" si="13"/>
        <v>16</v>
      </c>
      <c r="I21" s="7">
        <f>VLOOKUP($A21,Scoreboard!$B$1:$F$21,5,FALSE)</f>
        <v>33</v>
      </c>
      <c r="J21" s="115">
        <f t="shared" si="14"/>
        <v>15</v>
      </c>
      <c r="K21" s="105"/>
      <c r="L21" s="105"/>
      <c r="M21" s="105"/>
      <c r="N21" s="105"/>
      <c r="O21" s="105"/>
      <c r="P21" s="99">
        <f t="shared" si="15"/>
        <v>1</v>
      </c>
      <c r="Q21" s="99">
        <f t="shared" si="16"/>
        <v>1</v>
      </c>
      <c r="R21" s="99">
        <f>IF(ISERROR(Winners!$H36=1),0,IF(Winners!$H36=1,-2,0))</f>
        <v>0</v>
      </c>
      <c r="S21" s="99">
        <f>IF(ISERROR(Winners!$H36=2),0,IF(Winners!$H36=2,-1,0))</f>
        <v>0</v>
      </c>
      <c r="T21" s="99">
        <f>IF(ISERROR(Winners!$H36=3),0,IF(Winners!$H36=3,-0.5,0))</f>
        <v>0</v>
      </c>
      <c r="U21" s="99">
        <f t="shared" si="17"/>
        <v>0</v>
      </c>
      <c r="V21" s="99">
        <f t="shared" si="18"/>
        <v>1</v>
      </c>
      <c r="W21" s="99">
        <f t="shared" si="19"/>
        <v>0</v>
      </c>
      <c r="X21" s="99">
        <f t="shared" si="20"/>
        <v>0</v>
      </c>
      <c r="Y21" s="99">
        <f t="shared" si="21"/>
        <v>2</v>
      </c>
      <c r="Z21" s="100">
        <f t="shared" si="22"/>
        <v>1</v>
      </c>
      <c r="AA21" s="100">
        <f t="shared" si="23"/>
        <v>0</v>
      </c>
      <c r="AB21" s="100">
        <f>IF(ISERROR(Winners!$H58=1),0,IF(Winners!$H58=1,-2,0))</f>
        <v>0</v>
      </c>
      <c r="AC21" s="100">
        <f>IF(ISERROR(Winners!$H58=2),0,IF(Winners!$H58=2,-1,0))</f>
        <v>0</v>
      </c>
      <c r="AD21" s="100">
        <f>IF(ISERROR(Winners!$H58=3),0,IF(Winners!$H58=3,-0.5,0))</f>
        <v>0</v>
      </c>
      <c r="AE21" s="100">
        <f t="shared" si="1"/>
        <v>0.5</v>
      </c>
      <c r="AF21" s="100">
        <f t="shared" si="2"/>
        <v>0</v>
      </c>
      <c r="AG21" s="100">
        <f t="shared" si="3"/>
        <v>0</v>
      </c>
      <c r="AH21" s="100">
        <f t="shared" si="24"/>
        <v>0</v>
      </c>
      <c r="AI21" s="100">
        <f t="shared" si="25"/>
        <v>0.5</v>
      </c>
      <c r="AJ21" s="101">
        <f t="shared" si="4"/>
        <v>1</v>
      </c>
      <c r="AK21" s="101">
        <f t="shared" si="26"/>
        <v>0</v>
      </c>
      <c r="AL21" s="101">
        <f>IF(ISERROR(Winners!$H80=1),0,IF(Winners!$H80=1,-2,0))</f>
        <v>0</v>
      </c>
      <c r="AM21" s="101">
        <f>IF(ISERROR(Winners!$H80=2),0,IF(Winners!$H80=2,-1,0))</f>
        <v>0</v>
      </c>
      <c r="AN21" s="101">
        <f>IF(ISERROR(Winners!$H80=3),0,IF(Winners!$H80=3,-0.5,0))</f>
        <v>0</v>
      </c>
      <c r="AO21" s="101">
        <f t="shared" si="5"/>
        <v>0.5</v>
      </c>
      <c r="AP21" s="101">
        <f t="shared" si="6"/>
        <v>0</v>
      </c>
      <c r="AQ21" s="101">
        <f t="shared" si="7"/>
        <v>0</v>
      </c>
      <c r="AR21" s="101">
        <f t="shared" si="27"/>
        <v>0</v>
      </c>
      <c r="AS21" s="101">
        <f t="shared" si="28"/>
        <v>0.5</v>
      </c>
      <c r="AT21" s="102">
        <f t="shared" si="8"/>
        <v>1</v>
      </c>
      <c r="AU21" s="102">
        <f t="shared" si="29"/>
        <v>0</v>
      </c>
      <c r="AV21" s="102">
        <f>IF(ISERROR(Winners!$H102=1),0,IF(Winners!$H102=1,-2,0))</f>
        <v>0</v>
      </c>
      <c r="AW21" s="102">
        <f>IF(ISERROR(Winners!$H102=2),0,IF(Winners!$H102=2,-1,0))</f>
        <v>-1</v>
      </c>
      <c r="AX21" s="102">
        <f>IF(ISERROR(Winners!$H102=3),0,IF(Winners!$H102=3,-0.5,0))</f>
        <v>0</v>
      </c>
      <c r="AY21" s="102">
        <f t="shared" si="9"/>
        <v>0</v>
      </c>
      <c r="AZ21" s="102">
        <f t="shared" si="10"/>
        <v>0</v>
      </c>
      <c r="BA21" s="102">
        <f t="shared" si="11"/>
        <v>0</v>
      </c>
      <c r="BB21" s="102">
        <f t="shared" si="30"/>
        <v>0</v>
      </c>
      <c r="BC21" s="102">
        <f t="shared" si="31"/>
        <v>-1</v>
      </c>
    </row>
    <row r="22" spans="1:55" s="91" customFormat="1" ht="12.75">
      <c r="A22" s="92"/>
      <c r="B22" s="105"/>
      <c r="C22" s="108"/>
      <c r="D22" s="105"/>
      <c r="E22" s="108"/>
      <c r="F22" s="105"/>
      <c r="G22" s="108"/>
      <c r="H22" s="105"/>
      <c r="I22" s="108"/>
      <c r="J22" s="105"/>
      <c r="K22" s="105"/>
      <c r="L22" s="105"/>
      <c r="M22" s="105"/>
      <c r="N22" s="105"/>
      <c r="O22" s="105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</row>
    <row r="23" spans="1:55" s="91" customFormat="1" ht="12.75">
      <c r="A23" s="92"/>
      <c r="B23" s="105"/>
      <c r="C23" s="108"/>
      <c r="D23" s="105"/>
      <c r="E23" s="108"/>
      <c r="F23" s="105"/>
      <c r="G23" s="108"/>
      <c r="H23" s="105"/>
      <c r="I23" s="108"/>
      <c r="J23" s="105"/>
      <c r="K23" s="105"/>
      <c r="L23" s="105"/>
      <c r="M23" s="105"/>
      <c r="N23" s="105"/>
      <c r="O23" s="105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:55" s="91" customFormat="1" ht="12.75" hidden="1">
      <c r="A24" s="92"/>
      <c r="B24" s="105"/>
      <c r="C24" s="108"/>
      <c r="D24" s="105"/>
      <c r="E24" s="108"/>
      <c r="F24" s="105"/>
      <c r="G24" s="108"/>
      <c r="H24" s="105"/>
      <c r="I24" s="108"/>
      <c r="J24" s="105"/>
      <c r="K24" s="105"/>
      <c r="L24" s="105"/>
      <c r="M24" s="105"/>
      <c r="N24" s="105"/>
      <c r="O24" s="105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</row>
    <row r="25" spans="1:55" s="91" customFormat="1" ht="12.75" hidden="1">
      <c r="A25" s="92"/>
      <c r="B25" s="105"/>
      <c r="C25" s="108"/>
      <c r="D25" s="105"/>
      <c r="E25" s="108"/>
      <c r="F25" s="105"/>
      <c r="G25" s="108"/>
      <c r="H25" s="105"/>
      <c r="I25" s="108"/>
      <c r="J25" s="105"/>
      <c r="K25" s="105"/>
      <c r="L25" s="105"/>
      <c r="M25" s="105"/>
      <c r="N25" s="105"/>
      <c r="O25" s="105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</row>
    <row r="26" spans="1:55" s="91" customFormat="1" ht="12.75" hidden="1">
      <c r="A26" s="92"/>
      <c r="B26" s="105"/>
      <c r="C26" s="108"/>
      <c r="D26" s="105"/>
      <c r="E26" s="108"/>
      <c r="F26" s="105"/>
      <c r="G26" s="108"/>
      <c r="H26" s="105"/>
      <c r="I26" s="108"/>
      <c r="J26" s="105"/>
      <c r="K26" s="105"/>
      <c r="L26" s="105"/>
      <c r="M26" s="105"/>
      <c r="N26" s="105"/>
      <c r="O26" s="105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</row>
    <row r="27" spans="2:32" s="91" customFormat="1" ht="12.75" hidden="1">
      <c r="B27" s="107"/>
      <c r="C27" s="107"/>
      <c r="D27" s="107"/>
      <c r="E27" s="107"/>
      <c r="F27" s="107"/>
      <c r="G27" s="107"/>
      <c r="H27" s="107"/>
      <c r="I27" s="107"/>
      <c r="K27" s="106"/>
      <c r="L27" s="106"/>
      <c r="M27" s="106"/>
      <c r="N27" s="106"/>
      <c r="O27" s="106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</row>
    <row r="28" spans="2:32" s="91" customFormat="1" ht="12.75" hidden="1">
      <c r="B28" s="107" t="s">
        <v>68</v>
      </c>
      <c r="C28" s="107">
        <f>MIN(C2:C21)</f>
        <v>25</v>
      </c>
      <c r="D28" s="107"/>
      <c r="E28" s="107">
        <f>MIN(E2:E21)</f>
        <v>25</v>
      </c>
      <c r="F28" s="107"/>
      <c r="G28" s="107">
        <f>MIN(G2:G21)</f>
        <v>23</v>
      </c>
      <c r="H28" s="107"/>
      <c r="I28" s="107">
        <f>MIN(I2:I21)</f>
        <v>17</v>
      </c>
      <c r="K28" s="106"/>
      <c r="L28" s="106"/>
      <c r="M28" s="106"/>
      <c r="N28" s="106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</row>
    <row r="29" spans="2:32" s="91" customFormat="1" ht="12.75" hidden="1">
      <c r="B29" s="107" t="s">
        <v>69</v>
      </c>
      <c r="C29" s="107">
        <f>MAX(C2:C21)</f>
        <v>37</v>
      </c>
      <c r="D29" s="107"/>
      <c r="E29" s="107">
        <f>MAX(E2:E21)</f>
        <v>41</v>
      </c>
      <c r="F29" s="107"/>
      <c r="G29" s="107">
        <f>MAX(G2:G21)</f>
        <v>40</v>
      </c>
      <c r="H29" s="107"/>
      <c r="I29" s="107">
        <f>MAX(I2:I21)</f>
        <v>37</v>
      </c>
      <c r="K29" s="106"/>
      <c r="L29" s="106"/>
      <c r="M29" s="106"/>
      <c r="N29" s="106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</row>
    <row r="30" spans="2:32" s="91" customFormat="1" ht="12.75" hidden="1">
      <c r="B30" s="107" t="s">
        <v>33</v>
      </c>
      <c r="C30" s="107">
        <f>IF((LARGE(C2:C21,2))=C29,0,(LARGE(C2:C21,2)))</f>
        <v>36</v>
      </c>
      <c r="D30" s="107"/>
      <c r="E30" s="107">
        <f>IF((LARGE(E2:E21,2))=E29,0,(LARGE(E2:E21,2)))</f>
        <v>38</v>
      </c>
      <c r="F30" s="107"/>
      <c r="G30" s="107">
        <f>IF((LARGE(G2:G21,2))=G29,0,(LARGE(G2:G21,2)))</f>
        <v>35</v>
      </c>
      <c r="H30" s="107"/>
      <c r="I30" s="107">
        <f>IF((LARGE(I2:I21,2))=I29,0,(LARGE(I2:I21,2)))</f>
        <v>33</v>
      </c>
      <c r="K30" s="106"/>
      <c r="L30" s="106"/>
      <c r="M30" s="106"/>
      <c r="N30" s="106"/>
      <c r="O30" s="106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</row>
    <row r="31" spans="2:32" s="91" customFormat="1" ht="12.75" hidden="1">
      <c r="B31" s="107" t="s">
        <v>34</v>
      </c>
      <c r="C31" s="107">
        <f>IF((LARGE(C2:C21,3))=C30,0,(LARGE(C2:C21,3)))</f>
        <v>0</v>
      </c>
      <c r="D31" s="107"/>
      <c r="E31" s="107">
        <f>IF((LARGE(E2:E21,3))=E30,0,(LARGE(E2:E21,3)))</f>
        <v>0</v>
      </c>
      <c r="F31" s="107"/>
      <c r="G31" s="107">
        <f>IF((LARGE(G2:G21,3))=G30,0,(LARGE(G2:G21,3)))</f>
        <v>0</v>
      </c>
      <c r="H31" s="107"/>
      <c r="I31" s="107">
        <f>IF((LARGE(I2:I21,3))=I30,0,(LARGE(I2:I21,3)))</f>
        <v>32</v>
      </c>
      <c r="K31" s="106"/>
      <c r="L31" s="106"/>
      <c r="M31" s="106"/>
      <c r="N31" s="106"/>
      <c r="O31" s="106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</row>
    <row r="32" spans="2:32" s="91" customFormat="1" ht="12.75">
      <c r="B32" s="107"/>
      <c r="C32" s="107"/>
      <c r="D32" s="107"/>
      <c r="E32" s="107"/>
      <c r="F32" s="107"/>
      <c r="G32" s="107"/>
      <c r="H32" s="107"/>
      <c r="I32" s="107"/>
      <c r="K32" s="106"/>
      <c r="L32" s="106"/>
      <c r="M32" s="106"/>
      <c r="N32" s="106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</row>
    <row r="33" spans="2:32" s="91" customFormat="1" ht="12.75">
      <c r="B33" s="107"/>
      <c r="C33" s="107"/>
      <c r="D33" s="107"/>
      <c r="E33" s="107"/>
      <c r="F33" s="107"/>
      <c r="G33" s="107"/>
      <c r="H33" s="107"/>
      <c r="I33" s="107"/>
      <c r="K33" s="106"/>
      <c r="L33" s="106"/>
      <c r="M33" s="106"/>
      <c r="N33" s="106"/>
      <c r="O33" s="106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</row>
    <row r="34" spans="2:32" s="91" customFormat="1" ht="12.75">
      <c r="B34" s="107"/>
      <c r="C34" s="107"/>
      <c r="D34" s="107"/>
      <c r="E34" s="107"/>
      <c r="F34" s="107"/>
      <c r="G34" s="107"/>
      <c r="H34" s="107"/>
      <c r="I34" s="107"/>
      <c r="K34" s="106"/>
      <c r="L34" s="106"/>
      <c r="M34" s="106"/>
      <c r="N34" s="106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</row>
    <row r="35" spans="2:32" s="91" customFormat="1" ht="12.75">
      <c r="B35" s="107"/>
      <c r="C35" s="107"/>
      <c r="D35" s="107"/>
      <c r="E35" s="107"/>
      <c r="F35" s="107"/>
      <c r="G35" s="107"/>
      <c r="H35" s="107"/>
      <c r="I35" s="107"/>
      <c r="K35" s="106"/>
      <c r="L35" s="106"/>
      <c r="M35" s="106"/>
      <c r="N35" s="106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</row>
    <row r="36" spans="2:32" s="91" customFormat="1" ht="12.75">
      <c r="B36" s="107"/>
      <c r="C36" s="107"/>
      <c r="D36" s="107"/>
      <c r="E36" s="107"/>
      <c r="F36" s="107"/>
      <c r="G36" s="107"/>
      <c r="H36" s="107"/>
      <c r="I36" s="107"/>
      <c r="K36" s="106"/>
      <c r="L36" s="106"/>
      <c r="M36" s="106"/>
      <c r="N36" s="106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</row>
    <row r="37" spans="2:32" s="91" customFormat="1" ht="12.75">
      <c r="B37" s="107"/>
      <c r="C37" s="107"/>
      <c r="D37" s="107"/>
      <c r="E37" s="107"/>
      <c r="F37" s="107"/>
      <c r="G37" s="107"/>
      <c r="H37" s="107"/>
      <c r="I37" s="107"/>
      <c r="K37" s="106"/>
      <c r="L37" s="106"/>
      <c r="M37" s="106"/>
      <c r="N37" s="106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</row>
    <row r="38" spans="2:32" s="91" customFormat="1" ht="12.75">
      <c r="B38" s="107"/>
      <c r="C38" s="107"/>
      <c r="D38" s="107"/>
      <c r="E38" s="107"/>
      <c r="F38" s="107"/>
      <c r="G38" s="107"/>
      <c r="H38" s="107"/>
      <c r="I38" s="107"/>
      <c r="K38" s="106"/>
      <c r="L38" s="106"/>
      <c r="M38" s="106"/>
      <c r="N38" s="106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2"/>
  <sheetViews>
    <sheetView zoomScale="70" zoomScaleNormal="70" zoomScalePageLayoutView="0" workbookViewId="0" topLeftCell="A1">
      <selection activeCell="E10" sqref="E10"/>
    </sheetView>
  </sheetViews>
  <sheetFormatPr defaultColWidth="9.140625" defaultRowHeight="12.75"/>
  <cols>
    <col min="1" max="1" width="17.140625" style="0" customWidth="1"/>
    <col min="2" max="2" width="23.140625" style="6" customWidth="1"/>
    <col min="3" max="3" width="23.57421875" style="6" customWidth="1"/>
    <col min="4" max="4" width="23.00390625" style="6" customWidth="1"/>
    <col min="5" max="5" width="13.57421875" style="6" customWidth="1"/>
    <col min="6" max="6" width="24.28125" style="6" customWidth="1"/>
    <col min="7" max="7" width="10.00390625" style="6" customWidth="1"/>
    <col min="8" max="8" width="10.28125" style="6" customWidth="1"/>
    <col min="9" max="9" width="15.28125" style="6" customWidth="1"/>
    <col min="10" max="10" width="9.140625" style="124" customWidth="1"/>
    <col min="11" max="11" width="18.7109375" style="125" customWidth="1"/>
    <col min="12" max="12" width="8.00390625" style="125" customWidth="1"/>
    <col min="13" max="14" width="12.140625" style="0" bestFit="1" customWidth="1"/>
    <col min="15" max="15" width="11.140625" style="0" bestFit="1" customWidth="1"/>
    <col min="16" max="16" width="10.28125" style="0" customWidth="1"/>
  </cols>
  <sheetData>
    <row r="1" spans="1:12" ht="15">
      <c r="A1" s="109"/>
      <c r="B1" s="119"/>
      <c r="C1" s="119"/>
      <c r="D1" s="119"/>
      <c r="J1" s="121"/>
      <c r="K1" s="122"/>
      <c r="L1" s="122"/>
    </row>
    <row r="2" spans="1:12" ht="28.5" customHeight="1">
      <c r="A2" s="109"/>
      <c r="B2" s="120" t="s">
        <v>32</v>
      </c>
      <c r="C2" s="120" t="s">
        <v>145</v>
      </c>
      <c r="D2" s="120" t="s">
        <v>33</v>
      </c>
      <c r="E2" s="120" t="s">
        <v>145</v>
      </c>
      <c r="F2" s="120" t="s">
        <v>34</v>
      </c>
      <c r="G2" s="120" t="s">
        <v>145</v>
      </c>
      <c r="H2" s="170" t="s">
        <v>143</v>
      </c>
      <c r="I2" s="170"/>
      <c r="J2" s="118" t="s">
        <v>32</v>
      </c>
      <c r="K2" s="118" t="s">
        <v>33</v>
      </c>
      <c r="L2" s="118" t="s">
        <v>34</v>
      </c>
    </row>
    <row r="3" spans="1:12" ht="28.5" customHeight="1">
      <c r="A3" s="110" t="s">
        <v>27</v>
      </c>
      <c r="B3" s="116" t="str">
        <f>INDEX($A$17:$A$36,MATCH(1,$H$17:$H$36,0))</f>
        <v>Roger Chapman</v>
      </c>
      <c r="C3" s="117">
        <f>VLOOKUP(B3,$A17:$B36,2,FALSE)</f>
        <v>37</v>
      </c>
      <c r="D3" s="116" t="str">
        <f>INDEX($A$17:$A$36,MATCH(2,$H$17:$H$36,0))</f>
        <v>Tony Chapman</v>
      </c>
      <c r="E3" s="117">
        <f>VLOOKUP(D3,$A17:$B36,2,FALSE)</f>
        <v>36</v>
      </c>
      <c r="F3" s="116" t="str">
        <f>INDEX($A$17:$A$36,MATCH(3,$H$17:$H$36,0))</f>
        <v>Adam Douglas</v>
      </c>
      <c r="G3" s="117">
        <f>VLOOKUP(F3,$A17:$B36,2,FALSE)</f>
        <v>36</v>
      </c>
      <c r="H3"/>
      <c r="J3" s="118">
        <f>COUNTIF(B17:B36,MAX(B17:B36))</f>
        <v>1</v>
      </c>
      <c r="K3" s="118">
        <f>COUNTIF(B17:B36,LARGE(B17:B36,2))</f>
        <v>3</v>
      </c>
      <c r="L3" s="118">
        <f>COUNTIF(B17:B36,LARGE(B17:B36,3))</f>
        <v>3</v>
      </c>
    </row>
    <row r="4" spans="1:12" ht="28.5" customHeight="1">
      <c r="A4" s="110" t="s">
        <v>28</v>
      </c>
      <c r="B4" s="116" t="str">
        <f>INDEX($A$39:$A$58,MATCH(1,$H$39:$H$58,0))</f>
        <v>Scott Saurin</v>
      </c>
      <c r="C4" s="117">
        <f>VLOOKUP(B4,$A39:$B58,2,FALSE)</f>
        <v>41</v>
      </c>
      <c r="D4" s="116" t="str">
        <f>INDEX($A$39:$A$58,MATCH(2,$H$39:$H$58,0))</f>
        <v>Marcus Street</v>
      </c>
      <c r="E4" s="117">
        <f>VLOOKUP(D4,$A39:$B58,2,FALSE)</f>
        <v>38</v>
      </c>
      <c r="F4" s="116" t="str">
        <f>INDEX($A$39:$A$58,MATCH(3,$H$39:$H$58,0))</f>
        <v>Tony Chapman</v>
      </c>
      <c r="G4" s="117">
        <f>VLOOKUP(F4,$A39:$B58,2,FALSE)</f>
        <v>38</v>
      </c>
      <c r="H4"/>
      <c r="J4" s="118">
        <f>COUNTIF(B39:B58,MAX(B39:B58))</f>
        <v>1</v>
      </c>
      <c r="K4" s="118">
        <f>COUNTIF(B39:B58,LARGE(B39:B58,2))</f>
        <v>2</v>
      </c>
      <c r="L4" s="118">
        <f>COUNTIF(B39:B58,LARGE(B39:B58,3))</f>
        <v>2</v>
      </c>
    </row>
    <row r="5" spans="1:12" ht="28.5" customHeight="1">
      <c r="A5" s="110" t="s">
        <v>29</v>
      </c>
      <c r="B5" s="116" t="str">
        <f>INDEX($A$61:$A$80,MATCH(1,$H$61:$H$80,0))</f>
        <v>Tony Chapman</v>
      </c>
      <c r="C5" s="117">
        <f>VLOOKUP(B5,$A61:$B80,2,FALSE)</f>
        <v>40</v>
      </c>
      <c r="D5" s="116" t="str">
        <f>INDEX($A$61:$A$80,MATCH(2,$H$61:$H$80,0))</f>
        <v>Basil Davies</v>
      </c>
      <c r="E5" s="117">
        <f>VLOOKUP(D5,$A61:$B80,2,FALSE)</f>
        <v>35</v>
      </c>
      <c r="F5" s="116" t="str">
        <f>INDEX($A$61:$A$80,MATCH(3,$H$61:$H$80,0))</f>
        <v>Dave Chapman</v>
      </c>
      <c r="G5" s="117">
        <f>VLOOKUP(F5,$A61:$B80,2,FALSE)</f>
        <v>35</v>
      </c>
      <c r="H5"/>
      <c r="J5" s="118">
        <f>COUNTIF(B61:B80,MAX(B61:B80))</f>
        <v>1</v>
      </c>
      <c r="K5" s="118">
        <f>COUNTIF(B61:B80,LARGE(B61:B80,2))</f>
        <v>3</v>
      </c>
      <c r="L5" s="118">
        <f>COUNTIF(B61:B80,LARGE(B61:B80,3))</f>
        <v>3</v>
      </c>
    </row>
    <row r="6" spans="1:12" ht="28.5" customHeight="1">
      <c r="A6" s="110" t="s">
        <v>30</v>
      </c>
      <c r="B6" s="116" t="str">
        <f>INDEX($A$83:$A$102,MATCH(1,$H$83:$H$102,0))</f>
        <v>Alex Davies</v>
      </c>
      <c r="C6" s="117">
        <f>VLOOKUP(B6,$A83:$B102,2,FALSE)</f>
        <v>37</v>
      </c>
      <c r="D6" s="116" t="str">
        <f>INDEX($A$83:$A$102,MATCH(2,$H$83:$H$102,0))</f>
        <v>Tony Williams</v>
      </c>
      <c r="E6" s="117">
        <f>VLOOKUP(D6,$A83:$B102,2,FALSE)</f>
        <v>33</v>
      </c>
      <c r="F6" s="116" t="str">
        <f>INDEX($A$83:$A$102,MATCH(3,$H$83:$H$102,0))</f>
        <v>James Spackman</v>
      </c>
      <c r="G6" s="117">
        <f>VLOOKUP(F6,$A83:$B102,2,FALSE)</f>
        <v>32</v>
      </c>
      <c r="H6"/>
      <c r="J6" s="118">
        <f>COUNTIF(B83:B102,MAX(B83:B102))</f>
        <v>1</v>
      </c>
      <c r="K6" s="118">
        <f>COUNTIF(B83:B102,LARGE(B83:B102,2))</f>
        <v>1</v>
      </c>
      <c r="L6" s="118">
        <f>COUNTIF(B83:B102,LARGE(B83:B102,3))</f>
        <v>1</v>
      </c>
    </row>
    <row r="7" spans="1:12" ht="28.5" customHeight="1">
      <c r="A7" s="110" t="s">
        <v>35</v>
      </c>
      <c r="B7" s="116" t="str">
        <f>INDEX($K$17:$K$36,MATCH(1,$P$17:$P$36,0))</f>
        <v>Tony Chapman</v>
      </c>
      <c r="C7" s="117">
        <f>VLOOKUP(B7,$K17:$L36,2,FALSE)</f>
        <v>137</v>
      </c>
      <c r="D7" s="116" t="str">
        <f>INDEX($K$17:$K$36,MATCH(2,$P$17:$P$36,0))</f>
        <v>Alex Davies</v>
      </c>
      <c r="E7" s="117">
        <f>VLOOKUP(D7,$K17:$L36,2,FALSE)</f>
        <v>133</v>
      </c>
      <c r="F7" s="116" t="str">
        <f>INDEX($K$17:$K$36,MATCH(3,$P$17:$P$36,0))</f>
        <v>Moray Fleming</v>
      </c>
      <c r="G7" s="117">
        <f>VLOOKUP(F7,$K17:$L36,2,FALSE)</f>
        <v>131</v>
      </c>
      <c r="H7"/>
      <c r="J7" s="118">
        <f>COUNTIF(L17:L36,MAX(L17:L36))</f>
        <v>1</v>
      </c>
      <c r="K7" s="118">
        <f>COUNTIF(L17:L36,LARGE(L17:L36,2))</f>
        <v>1</v>
      </c>
      <c r="L7" s="118">
        <f>COUNTIF(L17:L36,LARGE(L17:L36,2))</f>
        <v>1</v>
      </c>
    </row>
    <row r="8" spans="1:12" ht="28.5" customHeight="1">
      <c r="A8" s="111"/>
      <c r="B8" s="119"/>
      <c r="C8" s="119"/>
      <c r="D8" s="119"/>
      <c r="J8" s="121"/>
      <c r="K8" s="122"/>
      <c r="L8" s="122"/>
    </row>
    <row r="9" spans="1:12" ht="28.5" customHeight="1">
      <c r="A9" s="110" t="s">
        <v>59</v>
      </c>
      <c r="B9" s="116" t="str">
        <f>VLOOKUP((MAX('[1]Scoreboard'!$H$2:$H$21)),'[1]Scoreboard'!$H$2:$P$21,9,FALSE)</f>
        <v>Tony Chapman</v>
      </c>
      <c r="C9" s="119"/>
      <c r="D9" s="119"/>
      <c r="J9" s="121"/>
      <c r="K9" s="122"/>
      <c r="L9" s="122"/>
    </row>
    <row r="10" spans="1:12" ht="28.5" customHeight="1">
      <c r="A10" s="110" t="s">
        <v>60</v>
      </c>
      <c r="B10" s="116" t="str">
        <f>VLOOKUP((MIN('[1]Scoreboard'!$K$2:$K$21)),'[1]Scoreboard'!$K$2:$P$21,6,FALSE)</f>
        <v>Dave Chapman</v>
      </c>
      <c r="C10" s="119"/>
      <c r="D10" s="119"/>
      <c r="J10" s="121"/>
      <c r="K10" s="122"/>
      <c r="L10" s="122"/>
    </row>
    <row r="11" spans="1:12" ht="28.5" customHeight="1">
      <c r="A11" s="110" t="s">
        <v>61</v>
      </c>
      <c r="B11" s="116" t="str">
        <f>VLOOKUP((MAX('[1]Scoreboard'!$I$2:$I$21)),'[1]Scoreboard'!$I$2:$P$21,8,FALSE)</f>
        <v>Roger Chapman</v>
      </c>
      <c r="C11" s="119"/>
      <c r="D11" s="119"/>
      <c r="J11" s="121"/>
      <c r="K11" s="122"/>
      <c r="L11" s="122"/>
    </row>
    <row r="12" spans="1:12" ht="28.5" customHeight="1">
      <c r="A12" s="110" t="s">
        <v>62</v>
      </c>
      <c r="B12" s="116" t="str">
        <f>VLOOKUP((MAX('[1]Scoreboard'!$J$2:$J$21)),'[1]Scoreboard'!$J$2:$P$21,7,FALSE)</f>
        <v>Ali Barnett</v>
      </c>
      <c r="C12" s="119"/>
      <c r="D12" s="119"/>
      <c r="J12" s="121"/>
      <c r="K12" s="122"/>
      <c r="L12" s="122"/>
    </row>
    <row r="14" ht="12.75" hidden="1"/>
    <row r="15" spans="4:12" ht="12.75" hidden="1">
      <c r="D15" s="6">
        <v>0.001</v>
      </c>
      <c r="E15" s="6">
        <v>0.0001</v>
      </c>
      <c r="J15" s="121"/>
      <c r="K15" s="122"/>
      <c r="L15" s="122"/>
    </row>
    <row r="16" spans="2:16" ht="12.75" hidden="1">
      <c r="B16" s="6" t="s">
        <v>111</v>
      </c>
      <c r="C16" s="6" t="s">
        <v>112</v>
      </c>
      <c r="D16" s="6" t="s">
        <v>113</v>
      </c>
      <c r="E16" s="6" t="s">
        <v>125</v>
      </c>
      <c r="F16" s="6" t="s">
        <v>114</v>
      </c>
      <c r="G16" s="6" t="s">
        <v>116</v>
      </c>
      <c r="H16" s="6" t="s">
        <v>115</v>
      </c>
      <c r="J16" s="121"/>
      <c r="K16" s="123" t="s">
        <v>35</v>
      </c>
      <c r="L16" s="124" t="s">
        <v>139</v>
      </c>
      <c r="M16" s="6" t="s">
        <v>140</v>
      </c>
      <c r="N16" s="6" t="s">
        <v>141</v>
      </c>
      <c r="O16" s="6" t="s">
        <v>142</v>
      </c>
      <c r="P16" s="6" t="s">
        <v>115</v>
      </c>
    </row>
    <row r="17" spans="1:16" ht="12.75" hidden="1">
      <c r="A17" s="3" t="str">
        <f>'Exact Handicaps'!A2</f>
        <v>Adam Douglas</v>
      </c>
      <c r="B17" s="6">
        <f>VLOOKUP($A17,'[1]Scoreboard'!$B$2:$AH$21,2,FALSE)</f>
        <v>36</v>
      </c>
      <c r="C17" s="6">
        <f>VLOOKUP($A17,'[1]Scoreboard'!$B$2:$AH$21,18,FALSE)*0.01</f>
        <v>0.15</v>
      </c>
      <c r="D17" s="6">
        <f>VLOOKUP($A17,'[1]Scoreboard'!$B$2:$AH$21,19,FALSE)*0.001</f>
        <v>0.009000000000000001</v>
      </c>
      <c r="E17" s="6">
        <f>VLOOKUP($A17,'[1]Scoreboard'!$B$2:$AH$21,20,FALSE)*0.00001</f>
        <v>6.000000000000001E-05</v>
      </c>
      <c r="F17" s="6">
        <f>VLOOKUP($A17,'[1]Scoreboard'!$B$2:$AH$21,21,FALSE)*0.0000001</f>
        <v>2E-07</v>
      </c>
      <c r="G17" s="6">
        <f>SUM(B17:F17)</f>
        <v>36.1590602</v>
      </c>
      <c r="H17" s="6">
        <f>RANK(G17,G$17:G$36)</f>
        <v>3</v>
      </c>
      <c r="K17" s="125" t="str">
        <f>A17</f>
        <v>Adam Douglas</v>
      </c>
      <c r="L17" s="124">
        <f>VLOOKUP($A17,'[1]Scoreboard'!$B$2:$AH$21,6,FALSE)</f>
        <v>118</v>
      </c>
      <c r="M17" s="6">
        <f>(B61+B83)*0.001</f>
        <v>0.05</v>
      </c>
      <c r="N17">
        <f>B83*0.00001</f>
        <v>0.00027</v>
      </c>
      <c r="O17" s="6">
        <f>SUM(L17:N17)</f>
        <v>118.05027</v>
      </c>
      <c r="P17" s="6">
        <f>RANK(O17,O$17:O$36)</f>
        <v>13</v>
      </c>
    </row>
    <row r="18" spans="1:16" ht="12.75" hidden="1">
      <c r="A18" s="3" t="str">
        <f>'Exact Handicaps'!A3</f>
        <v>Marc Talbot</v>
      </c>
      <c r="B18" s="6">
        <f>VLOOKUP($A18,'[1]Scoreboard'!$B$2:$AH$21,2,FALSE)</f>
        <v>34</v>
      </c>
      <c r="C18" s="6">
        <f>VLOOKUP($A18,'[1]Scoreboard'!$B$2:$AH$21,18,FALSE)*0.01</f>
        <v>0.17</v>
      </c>
      <c r="D18" s="6">
        <f>VLOOKUP($A18,'[1]Scoreboard'!$B$2:$AH$21,19,FALSE)*0.001</f>
        <v>0.011</v>
      </c>
      <c r="E18" s="6">
        <f>VLOOKUP($A18,'[1]Scoreboard'!$B$2:$AH$21,20,FALSE)*0.00001</f>
        <v>6.000000000000001E-05</v>
      </c>
      <c r="F18" s="6">
        <f>VLOOKUP($A18,'[1]Scoreboard'!$B$2:$AH$21,21,FALSE)*0.0000001</f>
        <v>2E-07</v>
      </c>
      <c r="G18" s="6">
        <f aca="true" t="shared" si="0" ref="G18:G36">SUM(B18:F18)</f>
        <v>34.181060200000005</v>
      </c>
      <c r="H18" s="6">
        <f aca="true" t="shared" si="1" ref="H18:H36">RANK(G18,G$17:G$36)</f>
        <v>6</v>
      </c>
      <c r="K18" s="125" t="str">
        <f aca="true" t="shared" si="2" ref="K18:K36">A18</f>
        <v>Marc Talbot</v>
      </c>
      <c r="L18" s="124">
        <f>VLOOKUP($A18,'[1]Scoreboard'!$B$2:$AH$21,6,FALSE)</f>
        <v>111</v>
      </c>
      <c r="M18" s="6">
        <f aca="true" t="shared" si="3" ref="M18:M36">(B62+B84)*0.001</f>
        <v>0.051000000000000004</v>
      </c>
      <c r="N18">
        <f aca="true" t="shared" si="4" ref="N18:N36">B84*0.00001</f>
        <v>0.00017</v>
      </c>
      <c r="O18" s="6">
        <f aca="true" t="shared" si="5" ref="O18:O36">SUM(L18:N18)</f>
        <v>111.05117</v>
      </c>
      <c r="P18" s="6">
        <f aca="true" t="shared" si="6" ref="P18:P36">RANK(O18,O$17:O$36)</f>
        <v>18</v>
      </c>
    </row>
    <row r="19" spans="1:16" ht="12.75" hidden="1">
      <c r="A19" s="3" t="str">
        <f>'Exact Handicaps'!A4</f>
        <v>Tony Chapman</v>
      </c>
      <c r="B19" s="6">
        <f>VLOOKUP($A19,'[1]Scoreboard'!$B$2:$AH$21,2,FALSE)</f>
        <v>36</v>
      </c>
      <c r="C19" s="6">
        <f>VLOOKUP($A19,'[1]Scoreboard'!$B$2:$AH$21,18,FALSE)*0.01</f>
        <v>0.19</v>
      </c>
      <c r="D19" s="6">
        <f>VLOOKUP($A19,'[1]Scoreboard'!$B$2:$AH$21,19,FALSE)*0.001</f>
        <v>0.012</v>
      </c>
      <c r="E19" s="6">
        <f>VLOOKUP($A19,'[1]Scoreboard'!$B$2:$AH$21,20,FALSE)*0.00001</f>
        <v>4E-05</v>
      </c>
      <c r="F19" s="6">
        <f>VLOOKUP($A19,'[1]Scoreboard'!$B$2:$AH$21,21,FALSE)*0.0000001</f>
        <v>2E-07</v>
      </c>
      <c r="G19" s="6">
        <f t="shared" si="0"/>
        <v>36.2020402</v>
      </c>
      <c r="H19" s="6">
        <f t="shared" si="1"/>
        <v>2</v>
      </c>
      <c r="K19" s="125" t="str">
        <f t="shared" si="2"/>
        <v>Tony Chapman</v>
      </c>
      <c r="L19" s="124">
        <f>VLOOKUP($A19,'[1]Scoreboard'!$B$2:$AH$21,6,FALSE)</f>
        <v>137</v>
      </c>
      <c r="M19" s="6">
        <f t="shared" si="3"/>
        <v>0.063</v>
      </c>
      <c r="N19">
        <f t="shared" si="4"/>
        <v>0.00023</v>
      </c>
      <c r="O19" s="6">
        <f t="shared" si="5"/>
        <v>137.06322999999998</v>
      </c>
      <c r="P19" s="6">
        <f t="shared" si="6"/>
        <v>1</v>
      </c>
    </row>
    <row r="20" spans="1:16" ht="12.75" hidden="1">
      <c r="A20" s="3" t="str">
        <f>'Exact Handicaps'!A5</f>
        <v>Daniel Nash</v>
      </c>
      <c r="B20" s="6">
        <f>VLOOKUP($A20,'[1]Scoreboard'!$B$2:$AH$21,2,FALSE)</f>
        <v>28</v>
      </c>
      <c r="C20" s="6">
        <f>VLOOKUP($A20,'[1]Scoreboard'!$B$2:$AH$21,18,FALSE)*0.01</f>
        <v>0.17</v>
      </c>
      <c r="D20" s="6">
        <f>VLOOKUP($A20,'[1]Scoreboard'!$B$2:$AH$21,19,FALSE)*0.001</f>
        <v>0.014</v>
      </c>
      <c r="E20" s="6">
        <f>VLOOKUP($A20,'[1]Scoreboard'!$B$2:$AH$21,20,FALSE)*0.00001</f>
        <v>6.000000000000001E-05</v>
      </c>
      <c r="F20" s="6">
        <f>VLOOKUP($A20,'[1]Scoreboard'!$B$2:$AH$21,21,FALSE)*0.0000001</f>
        <v>4E-07</v>
      </c>
      <c r="G20" s="6">
        <f t="shared" si="0"/>
        <v>28.184060400000003</v>
      </c>
      <c r="H20" s="6">
        <f t="shared" si="1"/>
        <v>16</v>
      </c>
      <c r="K20" s="125" t="str">
        <f t="shared" si="2"/>
        <v>Daniel Nash</v>
      </c>
      <c r="L20" s="124">
        <f>VLOOKUP($A20,'[1]Scoreboard'!$B$2:$AH$21,6,FALSE)</f>
        <v>125</v>
      </c>
      <c r="M20" s="6">
        <f t="shared" si="3"/>
        <v>0.063</v>
      </c>
      <c r="N20">
        <f t="shared" si="4"/>
        <v>0.00031</v>
      </c>
      <c r="O20" s="6">
        <f t="shared" si="5"/>
        <v>125.06331</v>
      </c>
      <c r="P20" s="6">
        <f t="shared" si="6"/>
        <v>6</v>
      </c>
    </row>
    <row r="21" spans="1:16" ht="12.75" hidden="1">
      <c r="A21" s="3" t="str">
        <f>'Exact Handicaps'!A6</f>
        <v>James Douglas</v>
      </c>
      <c r="B21" s="6">
        <f>VLOOKUP($A21,'[1]Scoreboard'!$B$2:$AH$21,2,FALSE)</f>
        <v>27</v>
      </c>
      <c r="C21" s="6">
        <f>VLOOKUP($A21,'[1]Scoreboard'!$B$2:$AH$21,18,FALSE)*0.01</f>
        <v>0.13</v>
      </c>
      <c r="D21" s="6">
        <f>VLOOKUP($A21,'[1]Scoreboard'!$B$2:$AH$21,19,FALSE)*0.001</f>
        <v>0.01</v>
      </c>
      <c r="E21" s="6">
        <f>VLOOKUP($A21,'[1]Scoreboard'!$B$2:$AH$21,20,FALSE)*0.00001</f>
        <v>4E-05</v>
      </c>
      <c r="F21" s="6">
        <f>VLOOKUP($A21,'[1]Scoreboard'!$B$2:$AH$21,21,FALSE)*0.0000001</f>
        <v>2E-07</v>
      </c>
      <c r="G21" s="6">
        <f t="shared" si="0"/>
        <v>27.140040199999998</v>
      </c>
      <c r="H21" s="6">
        <f t="shared" si="1"/>
        <v>18</v>
      </c>
      <c r="K21" s="125" t="str">
        <f t="shared" si="2"/>
        <v>James Douglas</v>
      </c>
      <c r="L21" s="124">
        <f>VLOOKUP($A21,'[1]Scoreboard'!$B$2:$AH$21,6,FALSE)</f>
        <v>117</v>
      </c>
      <c r="M21" s="6">
        <f t="shared" si="3"/>
        <v>0.056</v>
      </c>
      <c r="N21">
        <f t="shared" si="4"/>
        <v>0.00024000000000000003</v>
      </c>
      <c r="O21" s="6">
        <f t="shared" si="5"/>
        <v>117.05624</v>
      </c>
      <c r="P21" s="6">
        <f t="shared" si="6"/>
        <v>14</v>
      </c>
    </row>
    <row r="22" spans="1:16" ht="12.75" hidden="1">
      <c r="A22" s="3" t="str">
        <f>'Exact Handicaps'!A7</f>
        <v>James Spackman</v>
      </c>
      <c r="B22" s="6">
        <f>VLOOKUP($A22,'[1]Scoreboard'!$B$2:$AH$21,2,FALSE)</f>
        <v>31</v>
      </c>
      <c r="C22" s="6">
        <f>VLOOKUP($A22,'[1]Scoreboard'!$B$2:$AH$21,18,FALSE)*0.01</f>
        <v>0.13</v>
      </c>
      <c r="D22" s="6">
        <f>VLOOKUP($A22,'[1]Scoreboard'!$B$2:$AH$21,19,FALSE)*0.001</f>
        <v>0.009000000000000001</v>
      </c>
      <c r="E22" s="6">
        <f>VLOOKUP($A22,'[1]Scoreboard'!$B$2:$AH$21,20,FALSE)*0.00001</f>
        <v>4E-05</v>
      </c>
      <c r="F22" s="6">
        <f>VLOOKUP($A22,'[1]Scoreboard'!$B$2:$AH$21,21,FALSE)*0.0000001</f>
        <v>1E-07</v>
      </c>
      <c r="G22" s="6">
        <f t="shared" si="0"/>
        <v>31.1390401</v>
      </c>
      <c r="H22" s="6">
        <f t="shared" si="1"/>
        <v>13</v>
      </c>
      <c r="K22" s="125" t="str">
        <f t="shared" si="2"/>
        <v>James Spackman</v>
      </c>
      <c r="L22" s="124">
        <f>VLOOKUP($A22,'[1]Scoreboard'!$B$2:$AH$21,6,FALSE)</f>
        <v>118</v>
      </c>
      <c r="M22" s="6">
        <f t="shared" si="3"/>
        <v>0.062</v>
      </c>
      <c r="N22">
        <f t="shared" si="4"/>
        <v>0.00032</v>
      </c>
      <c r="O22" s="6">
        <f t="shared" si="5"/>
        <v>118.06232</v>
      </c>
      <c r="P22" s="6">
        <f t="shared" si="6"/>
        <v>12</v>
      </c>
    </row>
    <row r="23" spans="1:16" ht="12.75" hidden="1">
      <c r="A23" s="3" t="str">
        <f>'Exact Handicaps'!A8</f>
        <v>Marcus Street</v>
      </c>
      <c r="B23" s="6">
        <f>VLOOKUP($A23,'[1]Scoreboard'!$B$2:$AH$21,2,FALSE)</f>
        <v>32</v>
      </c>
      <c r="C23" s="6">
        <f>VLOOKUP($A23,'[1]Scoreboard'!$B$2:$AH$21,18,FALSE)*0.01</f>
        <v>0.16</v>
      </c>
      <c r="D23" s="6">
        <f>VLOOKUP($A23,'[1]Scoreboard'!$B$2:$AH$21,19,FALSE)*0.001</f>
        <v>0.008</v>
      </c>
      <c r="E23" s="6">
        <f>VLOOKUP($A23,'[1]Scoreboard'!$B$2:$AH$21,20,FALSE)*0.00001</f>
        <v>4E-05</v>
      </c>
      <c r="F23" s="6">
        <f>VLOOKUP($A23,'[1]Scoreboard'!$B$2:$AH$21,21,FALSE)*0.0000001</f>
        <v>2E-07</v>
      </c>
      <c r="G23" s="6">
        <f t="shared" si="0"/>
        <v>32.1680402</v>
      </c>
      <c r="H23" s="6">
        <f t="shared" si="1"/>
        <v>11</v>
      </c>
      <c r="K23" s="125" t="str">
        <f t="shared" si="2"/>
        <v>Marcus Street</v>
      </c>
      <c r="L23" s="124">
        <f>VLOOKUP($A23,'[1]Scoreboard'!$B$2:$AH$21,6,FALSE)</f>
        <v>121</v>
      </c>
      <c r="M23" s="6">
        <f t="shared" si="3"/>
        <v>0.051000000000000004</v>
      </c>
      <c r="N23">
        <f t="shared" si="4"/>
        <v>0.00026000000000000003</v>
      </c>
      <c r="O23" s="6">
        <f t="shared" si="5"/>
        <v>121.05126</v>
      </c>
      <c r="P23" s="6">
        <f t="shared" si="6"/>
        <v>10</v>
      </c>
    </row>
    <row r="24" spans="1:16" ht="12.75" hidden="1">
      <c r="A24" s="3" t="str">
        <f>'Exact Handicaps'!A9</f>
        <v>Roger Chapman</v>
      </c>
      <c r="B24" s="6">
        <f>VLOOKUP($A24,'[1]Scoreboard'!$B$2:$AH$21,2,FALSE)</f>
        <v>37</v>
      </c>
      <c r="C24" s="6">
        <f>VLOOKUP($A24,'[1]Scoreboard'!$B$2:$AH$21,18,FALSE)*0.01</f>
        <v>0.17</v>
      </c>
      <c r="D24" s="6">
        <f>VLOOKUP($A24,'[1]Scoreboard'!$B$2:$AH$21,19,FALSE)*0.001</f>
        <v>0.013000000000000001</v>
      </c>
      <c r="E24" s="6">
        <f>VLOOKUP($A24,'[1]Scoreboard'!$B$2:$AH$21,20,FALSE)*0.00001</f>
        <v>7.000000000000001E-05</v>
      </c>
      <c r="F24" s="6">
        <f>VLOOKUP($A24,'[1]Scoreboard'!$B$2:$AH$21,21,FALSE)*0.0000001</f>
        <v>2E-07</v>
      </c>
      <c r="G24" s="6">
        <f t="shared" si="0"/>
        <v>37.1830702</v>
      </c>
      <c r="H24" s="6">
        <f t="shared" si="1"/>
        <v>1</v>
      </c>
      <c r="K24" s="125" t="str">
        <f t="shared" si="2"/>
        <v>Roger Chapman</v>
      </c>
      <c r="L24" s="124">
        <f>VLOOKUP($A24,'[1]Scoreboard'!$B$2:$AH$21,6,FALSE)</f>
        <v>125</v>
      </c>
      <c r="M24" s="6">
        <f t="shared" si="3"/>
        <v>0.056</v>
      </c>
      <c r="N24">
        <f t="shared" si="4"/>
        <v>0.00025</v>
      </c>
      <c r="O24" s="6">
        <f t="shared" si="5"/>
        <v>125.05624999999999</v>
      </c>
      <c r="P24" s="6">
        <f t="shared" si="6"/>
        <v>8</v>
      </c>
    </row>
    <row r="25" spans="1:16" ht="12.75" hidden="1">
      <c r="A25" s="3" t="str">
        <f>'Exact Handicaps'!A10</f>
        <v>Scott Saurin</v>
      </c>
      <c r="B25" s="6">
        <f>VLOOKUP($A25,'[1]Scoreboard'!$B$2:$AH$21,2,FALSE)</f>
        <v>32</v>
      </c>
      <c r="C25" s="6">
        <f>VLOOKUP($A25,'[1]Scoreboard'!$B$2:$AH$21,18,FALSE)*0.01</f>
        <v>0.16</v>
      </c>
      <c r="D25" s="6">
        <f>VLOOKUP($A25,'[1]Scoreboard'!$B$2:$AH$21,19,FALSE)*0.001</f>
        <v>0.011</v>
      </c>
      <c r="E25" s="6">
        <f>VLOOKUP($A25,'[1]Scoreboard'!$B$2:$AH$21,20,FALSE)*0.00001</f>
        <v>5E-05</v>
      </c>
      <c r="F25" s="6">
        <f>VLOOKUP($A25,'[1]Scoreboard'!$B$2:$AH$21,21,FALSE)*0.0000001</f>
        <v>2E-07</v>
      </c>
      <c r="G25" s="6">
        <f t="shared" si="0"/>
        <v>32.1710502</v>
      </c>
      <c r="H25" s="6">
        <f t="shared" si="1"/>
        <v>10</v>
      </c>
      <c r="K25" s="125" t="str">
        <f t="shared" si="2"/>
        <v>Scott Saurin</v>
      </c>
      <c r="L25" s="124">
        <f>VLOOKUP($A25,'[1]Scoreboard'!$B$2:$AH$21,6,FALSE)</f>
        <v>127</v>
      </c>
      <c r="M25" s="6">
        <f t="shared" si="3"/>
        <v>0.054</v>
      </c>
      <c r="N25">
        <f t="shared" si="4"/>
        <v>0.00027</v>
      </c>
      <c r="O25" s="6">
        <f t="shared" si="5"/>
        <v>127.05427</v>
      </c>
      <c r="P25" s="6">
        <f t="shared" si="6"/>
        <v>4</v>
      </c>
    </row>
    <row r="26" spans="1:16" ht="12.75" hidden="1">
      <c r="A26" s="3" t="str">
        <f>'Exact Handicaps'!A11</f>
        <v>James Webb</v>
      </c>
      <c r="B26" s="6">
        <f>VLOOKUP($A26,'[1]Scoreboard'!$B$2:$AH$21,2,FALSE)</f>
        <v>29</v>
      </c>
      <c r="C26" s="6">
        <f>VLOOKUP($A26,'[1]Scoreboard'!$B$2:$AH$21,18,FALSE)*0.01</f>
        <v>0.13</v>
      </c>
      <c r="D26" s="6">
        <f>VLOOKUP($A26,'[1]Scoreboard'!$B$2:$AH$21,19,FALSE)*0.001</f>
        <v>0.01</v>
      </c>
      <c r="E26" s="6">
        <f>VLOOKUP($A26,'[1]Scoreboard'!$B$2:$AH$21,20,FALSE)*0.00001</f>
        <v>3.0000000000000004E-05</v>
      </c>
      <c r="F26" s="6">
        <f>VLOOKUP($A26,'[1]Scoreboard'!$B$2:$AH$21,21,FALSE)*0.0000001</f>
        <v>1E-07</v>
      </c>
      <c r="G26" s="6">
        <f t="shared" si="0"/>
        <v>29.1400301</v>
      </c>
      <c r="H26" s="6">
        <f t="shared" si="1"/>
        <v>15</v>
      </c>
      <c r="K26" s="125" t="str">
        <f t="shared" si="2"/>
        <v>James Webb</v>
      </c>
      <c r="L26" s="124">
        <f>VLOOKUP($A26,'[1]Scoreboard'!$B$2:$AH$21,6,FALSE)</f>
        <v>122</v>
      </c>
      <c r="M26" s="6">
        <f t="shared" si="3"/>
        <v>0.062</v>
      </c>
      <c r="N26">
        <f t="shared" si="4"/>
        <v>0.00029</v>
      </c>
      <c r="O26" s="6">
        <f t="shared" si="5"/>
        <v>122.06229</v>
      </c>
      <c r="P26" s="6">
        <f t="shared" si="6"/>
        <v>9</v>
      </c>
    </row>
    <row r="27" spans="1:16" ht="12.75" hidden="1">
      <c r="A27" s="3" t="str">
        <f>'Exact Handicaps'!A12</f>
        <v>Adam Greening</v>
      </c>
      <c r="B27" s="6">
        <f>VLOOKUP($A27,'[1]Scoreboard'!$B$2:$AH$21,2,FALSE)</f>
        <v>35</v>
      </c>
      <c r="C27" s="6">
        <f>VLOOKUP($A27,'[1]Scoreboard'!$B$2:$AH$21,18,FALSE)*0.01</f>
        <v>0.17</v>
      </c>
      <c r="D27" s="6">
        <f>VLOOKUP($A27,'[1]Scoreboard'!$B$2:$AH$21,19,FALSE)*0.001</f>
        <v>0.012</v>
      </c>
      <c r="E27" s="6">
        <f>VLOOKUP($A27,'[1]Scoreboard'!$B$2:$AH$21,20,FALSE)*0.00001</f>
        <v>7.000000000000001E-05</v>
      </c>
      <c r="F27" s="6">
        <f>VLOOKUP($A27,'[1]Scoreboard'!$B$2:$AH$21,21,FALSE)*0.0000001</f>
        <v>3E-07</v>
      </c>
      <c r="G27" s="6">
        <f t="shared" si="0"/>
        <v>35.18207030000001</v>
      </c>
      <c r="H27" s="6">
        <f t="shared" si="1"/>
        <v>5</v>
      </c>
      <c r="K27" s="125" t="str">
        <f t="shared" si="2"/>
        <v>Adam Greening</v>
      </c>
      <c r="L27" s="124">
        <f>VLOOKUP($A27,'[1]Scoreboard'!$B$2:$AH$21,6,FALSE)</f>
        <v>114</v>
      </c>
      <c r="M27" s="6">
        <f t="shared" si="3"/>
        <v>0.05</v>
      </c>
      <c r="N27">
        <f t="shared" si="4"/>
        <v>0.00022</v>
      </c>
      <c r="O27" s="6">
        <f t="shared" si="5"/>
        <v>114.05022</v>
      </c>
      <c r="P27" s="6">
        <f t="shared" si="6"/>
        <v>16</v>
      </c>
    </row>
    <row r="28" spans="1:16" ht="12.75" hidden="1">
      <c r="A28" s="3" t="str">
        <f>'Exact Handicaps'!A13</f>
        <v>Alex Davies</v>
      </c>
      <c r="B28" s="6">
        <f>VLOOKUP($A28,'[1]Scoreboard'!$B$2:$AH$21,2,FALSE)</f>
        <v>32</v>
      </c>
      <c r="C28" s="6">
        <f>VLOOKUP($A28,'[1]Scoreboard'!$B$2:$AH$21,18,FALSE)*0.01</f>
        <v>0.14</v>
      </c>
      <c r="D28" s="6">
        <f>VLOOKUP($A28,'[1]Scoreboard'!$B$2:$AH$21,19,FALSE)*0.001</f>
        <v>0.01</v>
      </c>
      <c r="E28" s="6">
        <f>VLOOKUP($A28,'[1]Scoreboard'!$B$2:$AH$21,20,FALSE)*0.00001</f>
        <v>6.000000000000001E-05</v>
      </c>
      <c r="F28" s="6">
        <f>VLOOKUP($A28,'[1]Scoreboard'!$B$2:$AH$21,21,FALSE)*0.0000001</f>
        <v>2E-07</v>
      </c>
      <c r="G28" s="6">
        <f t="shared" si="0"/>
        <v>32.1500602</v>
      </c>
      <c r="H28" s="6">
        <f t="shared" si="1"/>
        <v>12</v>
      </c>
      <c r="K28" s="125" t="str">
        <f t="shared" si="2"/>
        <v>Alex Davies</v>
      </c>
      <c r="L28" s="124">
        <f>VLOOKUP($A28,'[1]Scoreboard'!$B$2:$AH$21,6,FALSE)</f>
        <v>133</v>
      </c>
      <c r="M28" s="6">
        <f t="shared" si="3"/>
        <v>0.07200000000000001</v>
      </c>
      <c r="N28">
        <f t="shared" si="4"/>
        <v>0.00037000000000000005</v>
      </c>
      <c r="O28" s="6">
        <f t="shared" si="5"/>
        <v>133.07237</v>
      </c>
      <c r="P28" s="6">
        <f t="shared" si="6"/>
        <v>2</v>
      </c>
    </row>
    <row r="29" spans="1:16" ht="12.75" hidden="1">
      <c r="A29" s="3" t="str">
        <f>'Exact Handicaps'!A14</f>
        <v>Giles Elliott</v>
      </c>
      <c r="B29" s="6">
        <f>VLOOKUP($A29,'[1]Scoreboard'!$B$2:$AH$21,2,FALSE)</f>
        <v>28</v>
      </c>
      <c r="C29" s="6">
        <f>VLOOKUP($A29,'[1]Scoreboard'!$B$2:$AH$21,18,FALSE)*0.01</f>
        <v>0.15</v>
      </c>
      <c r="D29" s="6">
        <f>VLOOKUP($A29,'[1]Scoreboard'!$B$2:$AH$21,19,FALSE)*0.001</f>
        <v>0.008</v>
      </c>
      <c r="E29" s="6">
        <f>VLOOKUP($A29,'[1]Scoreboard'!$B$2:$AH$21,20,FALSE)*0.00001</f>
        <v>3.0000000000000004E-05</v>
      </c>
      <c r="F29" s="6">
        <f>VLOOKUP($A29,'[1]Scoreboard'!$B$2:$AH$21,21,FALSE)*0.0000001</f>
        <v>0</v>
      </c>
      <c r="G29" s="6">
        <f t="shared" si="0"/>
        <v>28.158029999999997</v>
      </c>
      <c r="H29" s="6">
        <f t="shared" si="1"/>
        <v>17</v>
      </c>
      <c r="K29" s="125" t="str">
        <f t="shared" si="2"/>
        <v>Giles Elliott</v>
      </c>
      <c r="L29" s="124">
        <f>VLOOKUP($A29,'[1]Scoreboard'!$B$2:$AH$21,6,FALSE)</f>
        <v>108</v>
      </c>
      <c r="M29" s="6">
        <f t="shared" si="3"/>
        <v>0.047</v>
      </c>
      <c r="N29">
        <f t="shared" si="4"/>
        <v>0.00019</v>
      </c>
      <c r="O29" s="6">
        <f t="shared" si="5"/>
        <v>108.04719</v>
      </c>
      <c r="P29" s="6">
        <f t="shared" si="6"/>
        <v>19</v>
      </c>
    </row>
    <row r="30" spans="1:16" ht="12.75" hidden="1">
      <c r="A30" s="3" t="str">
        <f>'Exact Handicaps'!A15</f>
        <v>Basil Davies</v>
      </c>
      <c r="B30" s="6">
        <f>VLOOKUP($A30,'[1]Scoreboard'!$B$2:$AH$21,2,FALSE)</f>
        <v>31</v>
      </c>
      <c r="C30" s="6">
        <f>VLOOKUP($A30,'[1]Scoreboard'!$B$2:$AH$21,18,FALSE)*0.01</f>
        <v>0.13</v>
      </c>
      <c r="D30" s="6">
        <f>VLOOKUP($A30,'[1]Scoreboard'!$B$2:$AH$21,19,FALSE)*0.001</f>
        <v>0.008</v>
      </c>
      <c r="E30" s="6">
        <f>VLOOKUP($A30,'[1]Scoreboard'!$B$2:$AH$21,20,FALSE)*0.00001</f>
        <v>5E-05</v>
      </c>
      <c r="F30" s="6">
        <f>VLOOKUP($A30,'[1]Scoreboard'!$B$2:$AH$21,21,FALSE)*0.0000001</f>
        <v>0</v>
      </c>
      <c r="G30" s="6">
        <f t="shared" si="0"/>
        <v>31.13805</v>
      </c>
      <c r="H30" s="6">
        <f t="shared" si="1"/>
        <v>14</v>
      </c>
      <c r="K30" s="125" t="str">
        <f t="shared" si="2"/>
        <v>Basil Davies</v>
      </c>
      <c r="L30" s="124">
        <f>VLOOKUP($A30,'[1]Scoreboard'!$B$2:$AH$21,6,FALSE)</f>
        <v>126</v>
      </c>
      <c r="M30" s="6">
        <f t="shared" si="3"/>
        <v>0.06</v>
      </c>
      <c r="N30">
        <f t="shared" si="4"/>
        <v>0.00025</v>
      </c>
      <c r="O30" s="6">
        <f t="shared" si="5"/>
        <v>126.06025</v>
      </c>
      <c r="P30" s="6">
        <f t="shared" si="6"/>
        <v>5</v>
      </c>
    </row>
    <row r="31" spans="1:16" ht="12.75" hidden="1">
      <c r="A31" s="3" t="str">
        <f>'Exact Handicaps'!A16</f>
        <v>Dave Chapman</v>
      </c>
      <c r="B31" s="6">
        <f>VLOOKUP($A31,'[1]Scoreboard'!$B$2:$AH$21,2,FALSE)</f>
        <v>36</v>
      </c>
      <c r="C31" s="6">
        <f>VLOOKUP($A31,'[1]Scoreboard'!$B$2:$AH$21,18,FALSE)*0.01</f>
        <v>0.15</v>
      </c>
      <c r="D31" s="6">
        <f>VLOOKUP($A31,'[1]Scoreboard'!$B$2:$AH$21,19,FALSE)*0.001</f>
        <v>0.009000000000000001</v>
      </c>
      <c r="E31" s="6">
        <f>VLOOKUP($A31,'[1]Scoreboard'!$B$2:$AH$21,20,FALSE)*0.00001</f>
        <v>2E-05</v>
      </c>
      <c r="F31" s="6">
        <f>VLOOKUP($A31,'[1]Scoreboard'!$B$2:$AH$21,21,FALSE)*0.0000001</f>
        <v>0</v>
      </c>
      <c r="G31" s="6">
        <f t="shared" si="0"/>
        <v>36.15902</v>
      </c>
      <c r="H31" s="6">
        <f t="shared" si="1"/>
        <v>4</v>
      </c>
      <c r="K31" s="125" t="str">
        <f t="shared" si="2"/>
        <v>Dave Chapman</v>
      </c>
      <c r="L31" s="124">
        <f>VLOOKUP($A31,'[1]Scoreboard'!$B$2:$AH$21,6,FALSE)</f>
        <v>125</v>
      </c>
      <c r="M31" s="6">
        <f t="shared" si="3"/>
        <v>0.059000000000000004</v>
      </c>
      <c r="N31">
        <f t="shared" si="4"/>
        <v>0.00024000000000000003</v>
      </c>
      <c r="O31" s="6">
        <f t="shared" si="5"/>
        <v>125.05924</v>
      </c>
      <c r="P31" s="6">
        <f t="shared" si="6"/>
        <v>7</v>
      </c>
    </row>
    <row r="32" spans="1:16" ht="12.75" hidden="1">
      <c r="A32" s="3" t="str">
        <f>'Exact Handicaps'!A17</f>
        <v>Ali Barnett</v>
      </c>
      <c r="B32" s="6">
        <f>VLOOKUP($A32,'[1]Scoreboard'!$B$2:$AH$21,2,FALSE)</f>
        <v>25</v>
      </c>
      <c r="C32" s="6">
        <f>VLOOKUP($A32,'[1]Scoreboard'!$B$2:$AH$21,18,FALSE)*0.01</f>
        <v>0.13</v>
      </c>
      <c r="D32" s="6">
        <f>VLOOKUP($A32,'[1]Scoreboard'!$B$2:$AH$21,19,FALSE)*0.001</f>
        <v>0.007</v>
      </c>
      <c r="E32" s="6">
        <f>VLOOKUP($A32,'[1]Scoreboard'!$B$2:$AH$21,20,FALSE)*0.00001</f>
        <v>0</v>
      </c>
      <c r="F32" s="6">
        <f>VLOOKUP($A32,'[1]Scoreboard'!$B$2:$AH$21,21,FALSE)*0.0000001</f>
        <v>0</v>
      </c>
      <c r="G32" s="6">
        <f t="shared" si="0"/>
        <v>25.137</v>
      </c>
      <c r="H32" s="6">
        <f t="shared" si="1"/>
        <v>19</v>
      </c>
      <c r="K32" s="125" t="str">
        <f t="shared" si="2"/>
        <v>Ali Barnett</v>
      </c>
      <c r="L32" s="124">
        <f>VLOOKUP($A32,'[1]Scoreboard'!$B$2:$AH$21,6,FALSE)</f>
        <v>104</v>
      </c>
      <c r="M32" s="6">
        <f t="shared" si="3"/>
        <v>0.05</v>
      </c>
      <c r="N32">
        <f t="shared" si="4"/>
        <v>0.00026000000000000003</v>
      </c>
      <c r="O32" s="6">
        <f t="shared" si="5"/>
        <v>104.05026</v>
      </c>
      <c r="P32" s="6">
        <f t="shared" si="6"/>
        <v>20</v>
      </c>
    </row>
    <row r="33" spans="1:16" ht="12.75" hidden="1">
      <c r="A33" s="3" t="str">
        <f>'Exact Handicaps'!A18</f>
        <v>Adam Smith</v>
      </c>
      <c r="B33" s="6">
        <f>VLOOKUP($A33,'[1]Scoreboard'!$B$2:$AH$21,2,FALSE)</f>
        <v>32</v>
      </c>
      <c r="C33" s="6">
        <f>VLOOKUP($A33,'[1]Scoreboard'!$B$2:$AH$21,18,FALSE)*0.01</f>
        <v>0.17</v>
      </c>
      <c r="D33" s="6">
        <f>VLOOKUP($A33,'[1]Scoreboard'!$B$2:$AH$21,19,FALSE)*0.001</f>
        <v>0.01</v>
      </c>
      <c r="E33" s="6">
        <f>VLOOKUP($A33,'[1]Scoreboard'!$B$2:$AH$21,20,FALSE)*0.00001</f>
        <v>5E-05</v>
      </c>
      <c r="F33" s="6">
        <f>VLOOKUP($A33,'[1]Scoreboard'!$B$2:$AH$21,21,FALSE)*0.0000001</f>
        <v>0</v>
      </c>
      <c r="G33" s="6">
        <f t="shared" si="0"/>
        <v>32.18005</v>
      </c>
      <c r="H33" s="6">
        <f t="shared" si="1"/>
        <v>8</v>
      </c>
      <c r="K33" s="125" t="str">
        <f t="shared" si="2"/>
        <v>Adam Smith</v>
      </c>
      <c r="L33" s="124">
        <f>VLOOKUP($A33,'[1]Scoreboard'!$B$2:$AH$21,6,FALSE)</f>
        <v>113</v>
      </c>
      <c r="M33" s="6">
        <f t="shared" si="3"/>
        <v>0.056</v>
      </c>
      <c r="N33">
        <f t="shared" si="4"/>
        <v>0.00026000000000000003</v>
      </c>
      <c r="O33" s="6">
        <f t="shared" si="5"/>
        <v>113.05626</v>
      </c>
      <c r="P33" s="6">
        <f t="shared" si="6"/>
        <v>17</v>
      </c>
    </row>
    <row r="34" spans="1:16" ht="12.75" hidden="1">
      <c r="A34" s="3" t="str">
        <f>'Exact Handicaps'!A19</f>
        <v>Luke Gallagher</v>
      </c>
      <c r="B34" s="6">
        <f>VLOOKUP($A34,'[1]Scoreboard'!$B$2:$AH$21,2,FALSE)</f>
        <v>32</v>
      </c>
      <c r="C34" s="6">
        <f>VLOOKUP($A34,'[1]Scoreboard'!$B$2:$AH$21,18,FALSE)*0.01</f>
        <v>0.17</v>
      </c>
      <c r="D34" s="6">
        <f>VLOOKUP($A34,'[1]Scoreboard'!$B$2:$AH$21,19,FALSE)*0.001</f>
        <v>0.009000000000000001</v>
      </c>
      <c r="E34" s="6">
        <f>VLOOKUP($A34,'[1]Scoreboard'!$B$2:$AH$21,20,FALSE)*0.00001</f>
        <v>4E-05</v>
      </c>
      <c r="F34" s="6">
        <f>VLOOKUP($A34,'[1]Scoreboard'!$B$2:$AH$21,21,FALSE)*0.0000001</f>
        <v>0</v>
      </c>
      <c r="G34" s="6">
        <f t="shared" si="0"/>
        <v>32.17904</v>
      </c>
      <c r="H34" s="6">
        <f t="shared" si="1"/>
        <v>9</v>
      </c>
      <c r="K34" s="125" t="str">
        <f t="shared" si="2"/>
        <v>Luke Gallagher</v>
      </c>
      <c r="L34" s="124">
        <f>VLOOKUP($A34,'[1]Scoreboard'!$B$2:$AH$21,6,FALSE)</f>
        <v>117</v>
      </c>
      <c r="M34" s="6">
        <f t="shared" si="3"/>
        <v>0.049</v>
      </c>
      <c r="N34">
        <f t="shared" si="4"/>
        <v>0.00018</v>
      </c>
      <c r="O34" s="6">
        <f t="shared" si="5"/>
        <v>117.04918</v>
      </c>
      <c r="P34" s="6">
        <f t="shared" si="6"/>
        <v>15</v>
      </c>
    </row>
    <row r="35" spans="1:16" ht="12.75" hidden="1">
      <c r="A35" s="3" t="str">
        <f>'Exact Handicaps'!A20</f>
        <v>Moray Fleming</v>
      </c>
      <c r="B35" s="6">
        <f>VLOOKUP($A35,'[1]Scoreboard'!$B$2:$AH$21,2,FALSE)</f>
        <v>33</v>
      </c>
      <c r="C35" s="6">
        <f>VLOOKUP($A35,'[1]Scoreboard'!$B$2:$AH$21,18,FALSE)*0.01</f>
        <v>0.14</v>
      </c>
      <c r="D35" s="6">
        <f>VLOOKUP($A35,'[1]Scoreboard'!$B$2:$AH$21,19,FALSE)*0.001</f>
        <v>0.011</v>
      </c>
      <c r="E35" s="6">
        <f>VLOOKUP($A35,'[1]Scoreboard'!$B$2:$AH$21,20,FALSE)*0.00001</f>
        <v>4E-05</v>
      </c>
      <c r="F35" s="6">
        <f>VLOOKUP($A35,'[1]Scoreboard'!$B$2:$AH$21,21,FALSE)*0.0000001</f>
        <v>1E-07</v>
      </c>
      <c r="G35" s="6">
        <f t="shared" si="0"/>
        <v>33.1510401</v>
      </c>
      <c r="H35" s="6">
        <f t="shared" si="1"/>
        <v>7</v>
      </c>
      <c r="K35" s="125" t="str">
        <f t="shared" si="2"/>
        <v>Moray Fleming</v>
      </c>
      <c r="L35" s="124">
        <f>VLOOKUP($A35,'[1]Scoreboard'!$B$2:$AH$21,6,FALSE)</f>
        <v>131</v>
      </c>
      <c r="M35" s="6">
        <f t="shared" si="3"/>
        <v>0.061</v>
      </c>
      <c r="N35">
        <f t="shared" si="4"/>
        <v>0.00030000000000000003</v>
      </c>
      <c r="O35" s="6">
        <f t="shared" si="5"/>
        <v>131.06130000000002</v>
      </c>
      <c r="P35" s="6">
        <f t="shared" si="6"/>
        <v>3</v>
      </c>
    </row>
    <row r="36" spans="1:16" ht="12.75" hidden="1">
      <c r="A36" s="3" t="str">
        <f>'Exact Handicaps'!A21</f>
        <v>Tony Williams</v>
      </c>
      <c r="B36" s="6">
        <f>VLOOKUP($A36,'[1]Scoreboard'!$B$2:$AH$21,2,FALSE)</f>
        <v>25</v>
      </c>
      <c r="C36" s="6">
        <f>VLOOKUP($A36,'[1]Scoreboard'!$B$2:$AH$21,18,FALSE)*0.01</f>
        <v>0.12</v>
      </c>
      <c r="D36" s="6">
        <f>VLOOKUP($A36,'[1]Scoreboard'!$B$2:$AH$21,19,FALSE)*0.001</f>
        <v>0.008</v>
      </c>
      <c r="E36" s="6">
        <f>VLOOKUP($A36,'[1]Scoreboard'!$B$2:$AH$21,20,FALSE)*0.00001</f>
        <v>3.0000000000000004E-05</v>
      </c>
      <c r="F36" s="6">
        <f>VLOOKUP($A36,'[1]Scoreboard'!$B$2:$AH$21,21,FALSE)*0.0000001</f>
        <v>1E-07</v>
      </c>
      <c r="G36" s="6">
        <f t="shared" si="0"/>
        <v>25.1280301</v>
      </c>
      <c r="H36" s="6">
        <f t="shared" si="1"/>
        <v>20</v>
      </c>
      <c r="K36" s="125" t="str">
        <f t="shared" si="2"/>
        <v>Tony Williams</v>
      </c>
      <c r="L36" s="124">
        <f>VLOOKUP($A36,'[1]Scoreboard'!$B$2:$AH$21,6,FALSE)</f>
        <v>119</v>
      </c>
      <c r="M36" s="6">
        <f t="shared" si="3"/>
        <v>0.063</v>
      </c>
      <c r="N36">
        <f t="shared" si="4"/>
        <v>0.00033000000000000005</v>
      </c>
      <c r="O36" s="6">
        <f t="shared" si="5"/>
        <v>119.06333000000001</v>
      </c>
      <c r="P36" s="6">
        <f t="shared" si="6"/>
        <v>11</v>
      </c>
    </row>
    <row r="37" ht="12.75" hidden="1"/>
    <row r="38" spans="2:8" ht="12.75" hidden="1">
      <c r="B38" s="6" t="s">
        <v>117</v>
      </c>
      <c r="C38" s="6" t="s">
        <v>118</v>
      </c>
      <c r="D38" s="6" t="s">
        <v>119</v>
      </c>
      <c r="E38" s="6" t="s">
        <v>124</v>
      </c>
      <c r="F38" s="6" t="s">
        <v>120</v>
      </c>
      <c r="G38" s="6" t="s">
        <v>121</v>
      </c>
      <c r="H38" s="6" t="s">
        <v>122</v>
      </c>
    </row>
    <row r="39" spans="1:8" ht="12.75" hidden="1">
      <c r="A39" s="3" t="str">
        <f>A17</f>
        <v>Adam Douglas</v>
      </c>
      <c r="B39" s="6">
        <f>VLOOKUP($A39,'[1]Scoreboard'!$B$2:$AH$21,3,FALSE)</f>
        <v>32</v>
      </c>
      <c r="C39" s="6">
        <f>VLOOKUP($A39,'[1]Scoreboard'!$B$2:$AH$21,22,FALSE)*0.01</f>
        <v>0.17</v>
      </c>
      <c r="D39" s="6">
        <f>VLOOKUP($A39,'[1]Scoreboard'!$B$2:$AH$21,23,FALSE)*0.001</f>
        <v>0.014</v>
      </c>
      <c r="E39" s="6">
        <f>VLOOKUP($A39,'[1]Scoreboard'!$B$2:$AH$21,24,FALSE)*0.0001</f>
        <v>0.0006000000000000001</v>
      </c>
      <c r="F39" s="6">
        <f>VLOOKUP($A39,'[1]Scoreboard'!$B$2:$AH$21,25,FALSE)*0.000001</f>
        <v>2E-06</v>
      </c>
      <c r="G39" s="6">
        <f>SUM(B39:F39)</f>
        <v>32.184602000000005</v>
      </c>
      <c r="H39" s="6">
        <f>RANK(G39,G$39:G$58)</f>
        <v>10</v>
      </c>
    </row>
    <row r="40" spans="1:8" ht="12.75" hidden="1">
      <c r="A40" s="3" t="str">
        <f aca="true" t="shared" si="7" ref="A40:A58">A18</f>
        <v>Marc Talbot</v>
      </c>
      <c r="B40" s="6">
        <f>VLOOKUP($A40,'[1]Scoreboard'!$B$2:$AH$21,3,FALSE)</f>
        <v>26</v>
      </c>
      <c r="C40" s="6">
        <f>VLOOKUP($A40,'[1]Scoreboard'!$B$2:$AH$21,22,FALSE)*0.01</f>
        <v>0.07</v>
      </c>
      <c r="D40" s="6">
        <f>VLOOKUP($A40,'[1]Scoreboard'!$B$2:$AH$21,23,FALSE)*0.001</f>
        <v>0.005</v>
      </c>
      <c r="E40" s="6">
        <f>VLOOKUP($A40,'[1]Scoreboard'!$B$2:$AH$21,24,FALSE)*0.0001</f>
        <v>0.0005</v>
      </c>
      <c r="F40" s="6">
        <f>VLOOKUP($A40,'[1]Scoreboard'!$B$2:$AH$21,25,FALSE)*0.000001</f>
        <v>1E-06</v>
      </c>
      <c r="G40" s="6">
        <f aca="true" t="shared" si="8" ref="G40:G58">SUM(B40:F40)</f>
        <v>26.075501</v>
      </c>
      <c r="H40" s="6">
        <f>RANK(G40,G$39:G$58)</f>
        <v>18</v>
      </c>
    </row>
    <row r="41" spans="1:8" ht="12.75" hidden="1">
      <c r="A41" s="3" t="str">
        <f t="shared" si="7"/>
        <v>Tony Chapman</v>
      </c>
      <c r="B41" s="6">
        <f>VLOOKUP($A41,'[1]Scoreboard'!$B$2:$AH$21,3,FALSE)</f>
        <v>38</v>
      </c>
      <c r="C41" s="6">
        <f>VLOOKUP($A41,'[1]Scoreboard'!$B$2:$AH$21,22,FALSE)*0.01</f>
        <v>0.18</v>
      </c>
      <c r="D41" s="6">
        <f>VLOOKUP($A41,'[1]Scoreboard'!$B$2:$AH$21,23,FALSE)*0.001</f>
        <v>0.011</v>
      </c>
      <c r="E41" s="6">
        <f>VLOOKUP($A41,'[1]Scoreboard'!$B$2:$AH$21,24,FALSE)*0.0001</f>
        <v>0.0007</v>
      </c>
      <c r="F41" s="6">
        <f>VLOOKUP($A41,'[1]Scoreboard'!$B$2:$AH$21,25,FALSE)*0.000001</f>
        <v>2E-06</v>
      </c>
      <c r="G41" s="6">
        <f t="shared" si="8"/>
        <v>38.19170200000001</v>
      </c>
      <c r="H41" s="6">
        <f aca="true" t="shared" si="9" ref="H41:H58">RANK(G41,G$39:G$58)</f>
        <v>3</v>
      </c>
    </row>
    <row r="42" spans="1:8" ht="12.75" hidden="1">
      <c r="A42" s="3" t="str">
        <f t="shared" si="7"/>
        <v>Daniel Nash</v>
      </c>
      <c r="B42" s="6">
        <f>VLOOKUP($A42,'[1]Scoreboard'!$B$2:$AH$21,3,FALSE)</f>
        <v>34</v>
      </c>
      <c r="C42" s="6">
        <f>VLOOKUP($A42,'[1]Scoreboard'!$B$2:$AH$21,22,FALSE)*0.01</f>
        <v>0.19</v>
      </c>
      <c r="D42" s="6">
        <f>VLOOKUP($A42,'[1]Scoreboard'!$B$2:$AH$21,23,FALSE)*0.001</f>
        <v>0.013000000000000001</v>
      </c>
      <c r="E42" s="6">
        <f>VLOOKUP($A42,'[1]Scoreboard'!$B$2:$AH$21,24,FALSE)*0.0001</f>
        <v>0.0006000000000000001</v>
      </c>
      <c r="F42" s="6">
        <f>VLOOKUP($A42,'[1]Scoreboard'!$B$2:$AH$21,25,FALSE)*0.000001</f>
        <v>2E-06</v>
      </c>
      <c r="G42" s="6">
        <f t="shared" si="8"/>
        <v>34.203602</v>
      </c>
      <c r="H42" s="6">
        <f t="shared" si="9"/>
        <v>7</v>
      </c>
    </row>
    <row r="43" spans="1:8" ht="12.75" hidden="1">
      <c r="A43" s="3" t="str">
        <f t="shared" si="7"/>
        <v>James Douglas</v>
      </c>
      <c r="B43" s="6">
        <f>VLOOKUP($A43,'[1]Scoreboard'!$B$2:$AH$21,3,FALSE)</f>
        <v>34</v>
      </c>
      <c r="C43" s="6">
        <f>VLOOKUP($A43,'[1]Scoreboard'!$B$2:$AH$21,22,FALSE)*0.01</f>
        <v>0.18</v>
      </c>
      <c r="D43" s="6">
        <f>VLOOKUP($A43,'[1]Scoreboard'!$B$2:$AH$21,23,FALSE)*0.001</f>
        <v>0.011</v>
      </c>
      <c r="E43" s="6">
        <f>VLOOKUP($A43,'[1]Scoreboard'!$B$2:$AH$21,24,FALSE)*0.0001</f>
        <v>0.0007</v>
      </c>
      <c r="F43" s="6">
        <f>VLOOKUP($A43,'[1]Scoreboard'!$B$2:$AH$21,25,FALSE)*0.000001</f>
        <v>1E-06</v>
      </c>
      <c r="G43" s="6">
        <f t="shared" si="8"/>
        <v>34.191701</v>
      </c>
      <c r="H43" s="6">
        <f t="shared" si="9"/>
        <v>8</v>
      </c>
    </row>
    <row r="44" spans="1:8" ht="12.75" hidden="1">
      <c r="A44" s="3" t="str">
        <f t="shared" si="7"/>
        <v>James Spackman</v>
      </c>
      <c r="B44" s="6">
        <f>VLOOKUP($A44,'[1]Scoreboard'!$B$2:$AH$21,3,FALSE)</f>
        <v>25</v>
      </c>
      <c r="C44" s="6">
        <f>VLOOKUP($A44,'[1]Scoreboard'!$B$2:$AH$21,22,FALSE)*0.01</f>
        <v>0.11</v>
      </c>
      <c r="D44" s="6">
        <f>VLOOKUP($A44,'[1]Scoreboard'!$B$2:$AH$21,23,FALSE)*0.001</f>
        <v>0.006</v>
      </c>
      <c r="E44" s="6">
        <f>VLOOKUP($A44,'[1]Scoreboard'!$B$2:$AH$21,24,FALSE)*0.0001</f>
        <v>0.00030000000000000003</v>
      </c>
      <c r="F44" s="6">
        <f>VLOOKUP($A44,'[1]Scoreboard'!$B$2:$AH$21,25,FALSE)*0.000001</f>
        <v>2E-06</v>
      </c>
      <c r="G44" s="6">
        <f t="shared" si="8"/>
        <v>25.116301999999997</v>
      </c>
      <c r="H44" s="6">
        <f t="shared" si="9"/>
        <v>19</v>
      </c>
    </row>
    <row r="45" spans="1:8" ht="12.75" hidden="1">
      <c r="A45" s="3" t="str">
        <f t="shared" si="7"/>
        <v>Marcus Street</v>
      </c>
      <c r="B45" s="6">
        <f>VLOOKUP($A45,'[1]Scoreboard'!$B$2:$AH$21,3,FALSE)</f>
        <v>38</v>
      </c>
      <c r="C45" s="6">
        <f>VLOOKUP($A45,'[1]Scoreboard'!$B$2:$AH$21,22,FALSE)*0.01</f>
        <v>0.22</v>
      </c>
      <c r="D45" s="6">
        <f>VLOOKUP($A45,'[1]Scoreboard'!$B$2:$AH$21,23,FALSE)*0.001</f>
        <v>0.015</v>
      </c>
      <c r="E45" s="6">
        <f>VLOOKUP($A45,'[1]Scoreboard'!$B$2:$AH$21,24,FALSE)*0.0001</f>
        <v>0.0006000000000000001</v>
      </c>
      <c r="F45" s="6">
        <f>VLOOKUP($A45,'[1]Scoreboard'!$B$2:$AH$21,25,FALSE)*0.000001</f>
        <v>1E-06</v>
      </c>
      <c r="G45" s="6">
        <f t="shared" si="8"/>
        <v>38.235600999999996</v>
      </c>
      <c r="H45" s="6">
        <f t="shared" si="9"/>
        <v>2</v>
      </c>
    </row>
    <row r="46" spans="1:8" ht="12.75" hidden="1">
      <c r="A46" s="3" t="str">
        <f t="shared" si="7"/>
        <v>Roger Chapman</v>
      </c>
      <c r="B46" s="6">
        <f>VLOOKUP($A46,'[1]Scoreboard'!$B$2:$AH$21,3,FALSE)</f>
        <v>32</v>
      </c>
      <c r="C46" s="6">
        <f>VLOOKUP($A46,'[1]Scoreboard'!$B$2:$AH$21,22,FALSE)*0.01</f>
        <v>0.15</v>
      </c>
      <c r="D46" s="6">
        <f>VLOOKUP($A46,'[1]Scoreboard'!$B$2:$AH$21,23,FALSE)*0.001</f>
        <v>0.009000000000000001</v>
      </c>
      <c r="E46" s="6">
        <f>VLOOKUP($A46,'[1]Scoreboard'!$B$2:$AH$21,24,FALSE)*0.0001</f>
        <v>0.00030000000000000003</v>
      </c>
      <c r="F46" s="6">
        <f>VLOOKUP($A46,'[1]Scoreboard'!$B$2:$AH$21,25,FALSE)*0.000001</f>
        <v>0</v>
      </c>
      <c r="G46" s="6">
        <f t="shared" si="8"/>
        <v>32.1593</v>
      </c>
      <c r="H46" s="6">
        <f t="shared" si="9"/>
        <v>11</v>
      </c>
    </row>
    <row r="47" spans="1:8" ht="12.75" hidden="1">
      <c r="A47" s="3" t="str">
        <f t="shared" si="7"/>
        <v>Scott Saurin</v>
      </c>
      <c r="B47" s="6">
        <f>VLOOKUP($A47,'[1]Scoreboard'!$B$2:$AH$21,3,FALSE)</f>
        <v>41</v>
      </c>
      <c r="C47" s="6">
        <f>VLOOKUP($A47,'[1]Scoreboard'!$B$2:$AH$21,22,FALSE)*0.01</f>
        <v>0.2</v>
      </c>
      <c r="D47" s="6">
        <f>VLOOKUP($A47,'[1]Scoreboard'!$B$2:$AH$21,23,FALSE)*0.001</f>
        <v>0.013000000000000001</v>
      </c>
      <c r="E47" s="6">
        <f>VLOOKUP($A47,'[1]Scoreboard'!$B$2:$AH$21,24,FALSE)*0.0001</f>
        <v>0.0006000000000000001</v>
      </c>
      <c r="F47" s="6">
        <f>VLOOKUP($A47,'[1]Scoreboard'!$B$2:$AH$21,25,FALSE)*0.000001</f>
        <v>1E-06</v>
      </c>
      <c r="G47" s="6">
        <f t="shared" si="8"/>
        <v>41.213601</v>
      </c>
      <c r="H47" s="6">
        <f t="shared" si="9"/>
        <v>1</v>
      </c>
    </row>
    <row r="48" spans="1:8" ht="12.75" hidden="1">
      <c r="A48" s="3" t="str">
        <f t="shared" si="7"/>
        <v>James Webb</v>
      </c>
      <c r="B48" s="6">
        <f>VLOOKUP($A48,'[1]Scoreboard'!$B$2:$AH$21,3,FALSE)</f>
        <v>31</v>
      </c>
      <c r="C48" s="6">
        <f>VLOOKUP($A48,'[1]Scoreboard'!$B$2:$AH$21,22,FALSE)*0.01</f>
        <v>0.12</v>
      </c>
      <c r="D48" s="6">
        <f>VLOOKUP($A48,'[1]Scoreboard'!$B$2:$AH$21,23,FALSE)*0.001</f>
        <v>0.008</v>
      </c>
      <c r="E48" s="6">
        <f>VLOOKUP($A48,'[1]Scoreboard'!$B$2:$AH$21,24,FALSE)*0.0001</f>
        <v>0.0001</v>
      </c>
      <c r="F48" s="6">
        <f>VLOOKUP($A48,'[1]Scoreboard'!$B$2:$AH$21,25,FALSE)*0.000001</f>
        <v>1E-06</v>
      </c>
      <c r="G48" s="6">
        <f t="shared" si="8"/>
        <v>31.128101</v>
      </c>
      <c r="H48" s="6">
        <f t="shared" si="9"/>
        <v>13</v>
      </c>
    </row>
    <row r="49" spans="1:8" ht="12.75" hidden="1">
      <c r="A49" s="3" t="str">
        <f t="shared" si="7"/>
        <v>Adam Greening</v>
      </c>
      <c r="B49" s="6">
        <f>VLOOKUP($A49,'[1]Scoreboard'!$B$2:$AH$21,3,FALSE)</f>
        <v>29</v>
      </c>
      <c r="C49" s="6">
        <f>VLOOKUP($A49,'[1]Scoreboard'!$B$2:$AH$21,22,FALSE)*0.01</f>
        <v>0.16</v>
      </c>
      <c r="D49" s="6">
        <f>VLOOKUP($A49,'[1]Scoreboard'!$B$2:$AH$21,23,FALSE)*0.001</f>
        <v>0.012</v>
      </c>
      <c r="E49" s="6">
        <f>VLOOKUP($A49,'[1]Scoreboard'!$B$2:$AH$21,24,FALSE)*0.0001</f>
        <v>0.0007</v>
      </c>
      <c r="F49" s="6">
        <f>VLOOKUP($A49,'[1]Scoreboard'!$B$2:$AH$21,25,FALSE)*0.000001</f>
        <v>2E-06</v>
      </c>
      <c r="G49" s="6">
        <f t="shared" si="8"/>
        <v>29.172701999999997</v>
      </c>
      <c r="H49" s="6">
        <f t="shared" si="9"/>
        <v>15</v>
      </c>
    </row>
    <row r="50" spans="1:8" ht="12.75" hidden="1">
      <c r="A50" s="3" t="str">
        <f t="shared" si="7"/>
        <v>Alex Davies</v>
      </c>
      <c r="B50" s="6">
        <f>VLOOKUP($A50,'[1]Scoreboard'!$B$2:$AH$21,3,FALSE)</f>
        <v>29</v>
      </c>
      <c r="C50" s="6">
        <f>VLOOKUP($A50,'[1]Scoreboard'!$B$2:$AH$21,22,FALSE)*0.01</f>
        <v>0.14</v>
      </c>
      <c r="D50" s="6">
        <f>VLOOKUP($A50,'[1]Scoreboard'!$B$2:$AH$21,23,FALSE)*0.001</f>
        <v>0.009000000000000001</v>
      </c>
      <c r="E50" s="6">
        <f>VLOOKUP($A50,'[1]Scoreboard'!$B$2:$AH$21,24,FALSE)*0.0001</f>
        <v>0.0004</v>
      </c>
      <c r="F50" s="6">
        <f>VLOOKUP($A50,'[1]Scoreboard'!$B$2:$AH$21,25,FALSE)*0.000001</f>
        <v>2E-06</v>
      </c>
      <c r="G50" s="6">
        <f t="shared" si="8"/>
        <v>29.149402</v>
      </c>
      <c r="H50" s="6">
        <f t="shared" si="9"/>
        <v>17</v>
      </c>
    </row>
    <row r="51" spans="1:8" ht="12.75" hidden="1">
      <c r="A51" s="3" t="str">
        <f t="shared" si="7"/>
        <v>Giles Elliott</v>
      </c>
      <c r="B51" s="6">
        <f>VLOOKUP($A51,'[1]Scoreboard'!$B$2:$AH$21,3,FALSE)</f>
        <v>33</v>
      </c>
      <c r="C51" s="6">
        <f>VLOOKUP($A51,'[1]Scoreboard'!$B$2:$AH$21,22,FALSE)*0.01</f>
        <v>0.16</v>
      </c>
      <c r="D51" s="6">
        <f>VLOOKUP($A51,'[1]Scoreboard'!$B$2:$AH$21,23,FALSE)*0.001</f>
        <v>0.008</v>
      </c>
      <c r="E51" s="6">
        <f>VLOOKUP($A51,'[1]Scoreboard'!$B$2:$AH$21,24,FALSE)*0.0001</f>
        <v>0.0005</v>
      </c>
      <c r="F51" s="6">
        <f>VLOOKUP($A51,'[1]Scoreboard'!$B$2:$AH$21,25,FALSE)*0.000001</f>
        <v>1E-06</v>
      </c>
      <c r="G51" s="6">
        <f t="shared" si="8"/>
        <v>33.168501</v>
      </c>
      <c r="H51" s="6">
        <f t="shared" si="9"/>
        <v>9</v>
      </c>
    </row>
    <row r="52" spans="1:8" ht="12.75" hidden="1">
      <c r="A52" s="3" t="str">
        <f t="shared" si="7"/>
        <v>Basil Davies</v>
      </c>
      <c r="B52" s="6">
        <f>VLOOKUP($A52,'[1]Scoreboard'!$B$2:$AH$21,3,FALSE)</f>
        <v>35</v>
      </c>
      <c r="C52" s="6">
        <f>VLOOKUP($A52,'[1]Scoreboard'!$B$2:$AH$21,22,FALSE)*0.01</f>
        <v>0.17</v>
      </c>
      <c r="D52" s="6">
        <f>VLOOKUP($A52,'[1]Scoreboard'!$B$2:$AH$21,23,FALSE)*0.001</f>
        <v>0.011</v>
      </c>
      <c r="E52" s="6">
        <f>VLOOKUP($A52,'[1]Scoreboard'!$B$2:$AH$21,24,FALSE)*0.0001</f>
        <v>0.0007</v>
      </c>
      <c r="F52" s="6">
        <f>VLOOKUP($A52,'[1]Scoreboard'!$B$2:$AH$21,25,FALSE)*0.000001</f>
        <v>2E-06</v>
      </c>
      <c r="G52" s="6">
        <f t="shared" si="8"/>
        <v>35.18170200000001</v>
      </c>
      <c r="H52" s="6">
        <f t="shared" si="9"/>
        <v>6</v>
      </c>
    </row>
    <row r="53" spans="1:8" ht="12.75" hidden="1">
      <c r="A53" s="3" t="str">
        <f t="shared" si="7"/>
        <v>Dave Chapman</v>
      </c>
      <c r="B53" s="6">
        <f>VLOOKUP($A53,'[1]Scoreboard'!$B$2:$AH$21,3,FALSE)</f>
        <v>30</v>
      </c>
      <c r="C53" s="6">
        <f>VLOOKUP($A53,'[1]Scoreboard'!$B$2:$AH$21,22,FALSE)*0.01</f>
        <v>0.16</v>
      </c>
      <c r="D53" s="6">
        <f>VLOOKUP($A53,'[1]Scoreboard'!$B$2:$AH$21,23,FALSE)*0.001</f>
        <v>0.01</v>
      </c>
      <c r="E53" s="6">
        <f>VLOOKUP($A53,'[1]Scoreboard'!$B$2:$AH$21,24,FALSE)*0.0001</f>
        <v>0.0005</v>
      </c>
      <c r="F53" s="6">
        <f>VLOOKUP($A53,'[1]Scoreboard'!$B$2:$AH$21,25,FALSE)*0.000001</f>
        <v>0</v>
      </c>
      <c r="G53" s="6">
        <f t="shared" si="8"/>
        <v>30.1705</v>
      </c>
      <c r="H53" s="6">
        <f t="shared" si="9"/>
        <v>14</v>
      </c>
    </row>
    <row r="54" spans="1:8" ht="12.75" hidden="1">
      <c r="A54" s="3" t="str">
        <f t="shared" si="7"/>
        <v>Ali Barnett</v>
      </c>
      <c r="B54" s="6">
        <f>VLOOKUP($A54,'[1]Scoreboard'!$B$2:$AH$21,3,FALSE)</f>
        <v>29</v>
      </c>
      <c r="C54" s="6">
        <f>VLOOKUP($A54,'[1]Scoreboard'!$B$2:$AH$21,22,FALSE)*0.01</f>
        <v>0.14</v>
      </c>
      <c r="D54" s="6">
        <f>VLOOKUP($A54,'[1]Scoreboard'!$B$2:$AH$21,23,FALSE)*0.001</f>
        <v>0.012</v>
      </c>
      <c r="E54" s="6">
        <f>VLOOKUP($A54,'[1]Scoreboard'!$B$2:$AH$21,24,FALSE)*0.0001</f>
        <v>0.0007</v>
      </c>
      <c r="F54" s="6">
        <f>VLOOKUP($A54,'[1]Scoreboard'!$B$2:$AH$21,25,FALSE)*0.000001</f>
        <v>1E-06</v>
      </c>
      <c r="G54" s="6">
        <f t="shared" si="8"/>
        <v>29.152701</v>
      </c>
      <c r="H54" s="6">
        <f t="shared" si="9"/>
        <v>16</v>
      </c>
    </row>
    <row r="55" spans="1:8" ht="12.75" hidden="1">
      <c r="A55" s="3" t="str">
        <f t="shared" si="7"/>
        <v>Adam Smith</v>
      </c>
      <c r="B55" s="6">
        <f>VLOOKUP($A55,'[1]Scoreboard'!$B$2:$AH$21,3,FALSE)</f>
        <v>25</v>
      </c>
      <c r="C55" s="6">
        <f>VLOOKUP($A55,'[1]Scoreboard'!$B$2:$AH$21,22,FALSE)*0.01</f>
        <v>0.09</v>
      </c>
      <c r="D55" s="6">
        <f>VLOOKUP($A55,'[1]Scoreboard'!$B$2:$AH$21,23,FALSE)*0.001</f>
        <v>0.007</v>
      </c>
      <c r="E55" s="6">
        <f>VLOOKUP($A55,'[1]Scoreboard'!$B$2:$AH$21,24,FALSE)*0.0001</f>
        <v>0.0004</v>
      </c>
      <c r="F55" s="6">
        <f>VLOOKUP($A55,'[1]Scoreboard'!$B$2:$AH$21,25,FALSE)*0.000001</f>
        <v>1E-06</v>
      </c>
      <c r="G55" s="6">
        <f t="shared" si="8"/>
        <v>25.097401</v>
      </c>
      <c r="H55" s="6">
        <f t="shared" si="9"/>
        <v>20</v>
      </c>
    </row>
    <row r="56" spans="1:8" ht="12.75" hidden="1">
      <c r="A56" s="3" t="str">
        <f t="shared" si="7"/>
        <v>Luke Gallagher</v>
      </c>
      <c r="B56" s="6">
        <f>VLOOKUP($A56,'[1]Scoreboard'!$B$2:$AH$21,3,FALSE)</f>
        <v>36</v>
      </c>
      <c r="C56" s="6">
        <f>VLOOKUP($A56,'[1]Scoreboard'!$B$2:$AH$21,22,FALSE)*0.01</f>
        <v>0.18</v>
      </c>
      <c r="D56" s="6">
        <f>VLOOKUP($A56,'[1]Scoreboard'!$B$2:$AH$21,23,FALSE)*0.001</f>
        <v>0.008</v>
      </c>
      <c r="E56" s="6">
        <f>VLOOKUP($A56,'[1]Scoreboard'!$B$2:$AH$21,24,FALSE)*0.0001</f>
        <v>0.0005</v>
      </c>
      <c r="F56" s="6">
        <f>VLOOKUP($A56,'[1]Scoreboard'!$B$2:$AH$21,25,FALSE)*0.000001</f>
        <v>2E-06</v>
      </c>
      <c r="G56" s="6">
        <f t="shared" si="8"/>
        <v>36.18850200000001</v>
      </c>
      <c r="H56" s="6">
        <f t="shared" si="9"/>
        <v>5</v>
      </c>
    </row>
    <row r="57" spans="1:8" ht="12.75" hidden="1">
      <c r="A57" s="3" t="str">
        <f t="shared" si="7"/>
        <v>Moray Fleming</v>
      </c>
      <c r="B57" s="6">
        <f>VLOOKUP($A57,'[1]Scoreboard'!$B$2:$AH$21,3,FALSE)</f>
        <v>37</v>
      </c>
      <c r="C57" s="6">
        <f>VLOOKUP($A57,'[1]Scoreboard'!$B$2:$AH$21,22,FALSE)*0.01</f>
        <v>0.19</v>
      </c>
      <c r="D57" s="6">
        <f>VLOOKUP($A57,'[1]Scoreboard'!$B$2:$AH$21,23,FALSE)*0.001</f>
        <v>0.013000000000000001</v>
      </c>
      <c r="E57" s="6">
        <f>VLOOKUP($A57,'[1]Scoreboard'!$B$2:$AH$21,24,FALSE)*0.0001</f>
        <v>0.0009000000000000001</v>
      </c>
      <c r="F57" s="6">
        <f>VLOOKUP($A57,'[1]Scoreboard'!$B$2:$AH$21,25,FALSE)*0.000001</f>
        <v>3E-06</v>
      </c>
      <c r="G57" s="6">
        <f t="shared" si="8"/>
        <v>37.203903</v>
      </c>
      <c r="H57" s="6">
        <f t="shared" si="9"/>
        <v>4</v>
      </c>
    </row>
    <row r="58" spans="1:8" ht="12.75" hidden="1">
      <c r="A58" s="3" t="str">
        <f t="shared" si="7"/>
        <v>Tony Williams</v>
      </c>
      <c r="B58" s="6">
        <f>VLOOKUP($A58,'[1]Scoreboard'!$B$2:$AH$21,3,FALSE)</f>
        <v>31</v>
      </c>
      <c r="C58" s="6">
        <f>VLOOKUP($A58,'[1]Scoreboard'!$B$2:$AH$21,22,FALSE)*0.01</f>
        <v>0.13</v>
      </c>
      <c r="D58" s="6">
        <f>VLOOKUP($A58,'[1]Scoreboard'!$B$2:$AH$21,23,FALSE)*0.001</f>
        <v>0.011</v>
      </c>
      <c r="E58" s="6">
        <f>VLOOKUP($A58,'[1]Scoreboard'!$B$2:$AH$21,24,FALSE)*0.0001</f>
        <v>0.0004</v>
      </c>
      <c r="F58" s="6">
        <f>VLOOKUP($A58,'[1]Scoreboard'!$B$2:$AH$21,25,FALSE)*0.000001</f>
        <v>2E-06</v>
      </c>
      <c r="G58" s="6">
        <f t="shared" si="8"/>
        <v>31.141401999999996</v>
      </c>
      <c r="H58" s="6">
        <f t="shared" si="9"/>
        <v>12</v>
      </c>
    </row>
    <row r="59" ht="12.75" hidden="1"/>
    <row r="60" spans="2:8" ht="12.75" hidden="1">
      <c r="B60" s="6" t="s">
        <v>123</v>
      </c>
      <c r="C60" s="6" t="s">
        <v>126</v>
      </c>
      <c r="D60" s="6" t="s">
        <v>127</v>
      </c>
      <c r="E60" s="6" t="s">
        <v>128</v>
      </c>
      <c r="F60" s="6" t="s">
        <v>129</v>
      </c>
      <c r="G60" s="6" t="s">
        <v>130</v>
      </c>
      <c r="H60" s="6" t="s">
        <v>131</v>
      </c>
    </row>
    <row r="61" spans="1:8" ht="12.75" hidden="1">
      <c r="A61" s="3" t="str">
        <f>A39</f>
        <v>Adam Douglas</v>
      </c>
      <c r="B61" s="6">
        <f>VLOOKUP($A61,'[1]Scoreboard'!$B$2:$AH$21,4,FALSE)</f>
        <v>23</v>
      </c>
      <c r="C61" s="6">
        <f>VLOOKUP($A61,'[1]Scoreboard'!$B$2:$AH$21,26,FALSE)*0.01</f>
        <v>0.13</v>
      </c>
      <c r="D61" s="6">
        <f>VLOOKUP($A61,'[1]Scoreboard'!$B$2:$AH$21,27,FALSE)*0.001</f>
        <v>0.009000000000000001</v>
      </c>
      <c r="E61" s="6">
        <f>VLOOKUP($A61,'[1]Scoreboard'!$B$2:$AH$21,28,FALSE)*0.0001</f>
        <v>0.0006000000000000001</v>
      </c>
      <c r="F61" s="6">
        <f>VLOOKUP($A61,'[1]Scoreboard'!$B$2:$AH$21,29,FALSE)*0.00001</f>
        <v>2E-05</v>
      </c>
      <c r="G61" s="6">
        <f>SUM(B61:F61)</f>
        <v>23.139619999999997</v>
      </c>
      <c r="H61" s="6">
        <f>RANK(G61,G$61:G$80)</f>
        <v>20</v>
      </c>
    </row>
    <row r="62" spans="1:8" ht="12.75" hidden="1">
      <c r="A62" s="3" t="str">
        <f aca="true" t="shared" si="10" ref="A62:A80">A40</f>
        <v>Marc Talbot</v>
      </c>
      <c r="B62" s="6">
        <f>VLOOKUP($A62,'[1]Scoreboard'!$B$2:$AH$21,4,FALSE)</f>
        <v>34</v>
      </c>
      <c r="C62" s="6">
        <f>VLOOKUP($A62,'[1]Scoreboard'!$B$2:$AH$21,26,FALSE)*0.01</f>
        <v>0.2</v>
      </c>
      <c r="D62" s="6">
        <f>VLOOKUP($A62,'[1]Scoreboard'!$B$2:$AH$21,27,FALSE)*0.001</f>
        <v>0.011</v>
      </c>
      <c r="E62" s="6">
        <f>VLOOKUP($A62,'[1]Scoreboard'!$B$2:$AH$21,28,FALSE)*0.0001</f>
        <v>0.0006000000000000001</v>
      </c>
      <c r="F62" s="6">
        <f>VLOOKUP($A62,'[1]Scoreboard'!$B$2:$AH$21,29,FALSE)*0.00001</f>
        <v>3.0000000000000004E-05</v>
      </c>
      <c r="G62" s="6">
        <f aca="true" t="shared" si="11" ref="G62:G80">SUM(B62:F62)</f>
        <v>34.21163000000001</v>
      </c>
      <c r="H62" s="6">
        <f aca="true" t="shared" si="12" ref="H62:H80">RANK(G62,G$61:G$80)</f>
        <v>5</v>
      </c>
    </row>
    <row r="63" spans="1:8" ht="12.75" hidden="1">
      <c r="A63" s="3" t="str">
        <f t="shared" si="10"/>
        <v>Tony Chapman</v>
      </c>
      <c r="B63" s="6">
        <f>VLOOKUP($A63,'[1]Scoreboard'!$B$2:$AH$21,4,FALSE)</f>
        <v>40</v>
      </c>
      <c r="C63" s="6">
        <f>VLOOKUP($A63,'[1]Scoreboard'!$B$2:$AH$21,26,FALSE)*0.01</f>
        <v>0.22</v>
      </c>
      <c r="D63" s="6">
        <f>VLOOKUP($A63,'[1]Scoreboard'!$B$2:$AH$21,27,FALSE)*0.001</f>
        <v>0.015</v>
      </c>
      <c r="E63" s="6">
        <f>VLOOKUP($A63,'[1]Scoreboard'!$B$2:$AH$21,28,FALSE)*0.0001</f>
        <v>0.0007</v>
      </c>
      <c r="F63" s="6">
        <f>VLOOKUP($A63,'[1]Scoreboard'!$B$2:$AH$21,29,FALSE)*0.00001</f>
        <v>3.0000000000000004E-05</v>
      </c>
      <c r="G63" s="6">
        <f t="shared" si="11"/>
        <v>40.235730000000004</v>
      </c>
      <c r="H63" s="6">
        <f t="shared" si="12"/>
        <v>1</v>
      </c>
    </row>
    <row r="64" spans="1:8" ht="12.75" hidden="1">
      <c r="A64" s="3" t="str">
        <f t="shared" si="10"/>
        <v>Daniel Nash</v>
      </c>
      <c r="B64" s="6">
        <f>VLOOKUP($A64,'[1]Scoreboard'!$B$2:$AH$21,4,FALSE)</f>
        <v>32</v>
      </c>
      <c r="C64" s="6">
        <f>VLOOKUP($A64,'[1]Scoreboard'!$B$2:$AH$21,26,FALSE)*0.01</f>
        <v>0.17</v>
      </c>
      <c r="D64" s="6">
        <f>VLOOKUP($A64,'[1]Scoreboard'!$B$2:$AH$21,27,FALSE)*0.001</f>
        <v>0.013000000000000001</v>
      </c>
      <c r="E64" s="6">
        <f>VLOOKUP($A64,'[1]Scoreboard'!$B$2:$AH$21,28,FALSE)*0.0001</f>
        <v>0.0005</v>
      </c>
      <c r="F64" s="6">
        <f>VLOOKUP($A64,'[1]Scoreboard'!$B$2:$AH$21,29,FALSE)*0.00001</f>
        <v>0</v>
      </c>
      <c r="G64" s="6">
        <f t="shared" si="11"/>
        <v>32.1835</v>
      </c>
      <c r="H64" s="6">
        <f t="shared" si="12"/>
        <v>8</v>
      </c>
    </row>
    <row r="65" spans="1:8" ht="12.75" hidden="1">
      <c r="A65" s="3" t="str">
        <f t="shared" si="10"/>
        <v>James Douglas</v>
      </c>
      <c r="B65" s="6">
        <f>VLOOKUP($A65,'[1]Scoreboard'!$B$2:$AH$21,4,FALSE)</f>
        <v>32</v>
      </c>
      <c r="C65" s="6">
        <f>VLOOKUP($A65,'[1]Scoreboard'!$B$2:$AH$21,26,FALSE)*0.01</f>
        <v>0.18</v>
      </c>
      <c r="D65" s="6">
        <f>VLOOKUP($A65,'[1]Scoreboard'!$B$2:$AH$21,27,FALSE)*0.001</f>
        <v>0.012</v>
      </c>
      <c r="E65" s="6">
        <f>VLOOKUP($A65,'[1]Scoreboard'!$B$2:$AH$21,28,FALSE)*0.0001</f>
        <v>0.0004</v>
      </c>
      <c r="F65" s="6">
        <f>VLOOKUP($A65,'[1]Scoreboard'!$B$2:$AH$21,29,FALSE)*0.00001</f>
        <v>2E-05</v>
      </c>
      <c r="G65" s="6">
        <f t="shared" si="11"/>
        <v>32.19242</v>
      </c>
      <c r="H65" s="6">
        <f t="shared" si="12"/>
        <v>7</v>
      </c>
    </row>
    <row r="66" spans="1:8" ht="12.75" hidden="1">
      <c r="A66" s="3" t="str">
        <f t="shared" si="10"/>
        <v>James Spackman</v>
      </c>
      <c r="B66" s="6">
        <f>VLOOKUP($A66,'[1]Scoreboard'!$B$2:$AH$21,4,FALSE)</f>
        <v>30</v>
      </c>
      <c r="C66" s="6">
        <f>VLOOKUP($A66,'[1]Scoreboard'!$B$2:$AH$21,26,FALSE)*0.01</f>
        <v>0.17</v>
      </c>
      <c r="D66" s="6">
        <f>VLOOKUP($A66,'[1]Scoreboard'!$B$2:$AH$21,27,FALSE)*0.001</f>
        <v>0.011</v>
      </c>
      <c r="E66" s="6">
        <f>VLOOKUP($A66,'[1]Scoreboard'!$B$2:$AH$21,28,FALSE)*0.0001</f>
        <v>0.0005</v>
      </c>
      <c r="F66" s="6">
        <f>VLOOKUP($A66,'[1]Scoreboard'!$B$2:$AH$21,29,FALSE)*0.00001</f>
        <v>0</v>
      </c>
      <c r="G66" s="6">
        <f t="shared" si="11"/>
        <v>30.1815</v>
      </c>
      <c r="H66" s="6">
        <f t="shared" si="12"/>
        <v>12</v>
      </c>
    </row>
    <row r="67" spans="1:8" ht="12.75" hidden="1">
      <c r="A67" s="3" t="str">
        <f t="shared" si="10"/>
        <v>Marcus Street</v>
      </c>
      <c r="B67" s="6">
        <f>VLOOKUP($A67,'[1]Scoreboard'!$B$2:$AH$21,4,FALSE)</f>
        <v>25</v>
      </c>
      <c r="C67" s="6">
        <f>VLOOKUP($A67,'[1]Scoreboard'!$B$2:$AH$21,26,FALSE)*0.01</f>
        <v>0.15</v>
      </c>
      <c r="D67" s="6">
        <f>VLOOKUP($A67,'[1]Scoreboard'!$B$2:$AH$21,27,FALSE)*0.001</f>
        <v>0.011</v>
      </c>
      <c r="E67" s="6">
        <f>VLOOKUP($A67,'[1]Scoreboard'!$B$2:$AH$21,28,FALSE)*0.0001</f>
        <v>0.0008</v>
      </c>
      <c r="F67" s="6">
        <f>VLOOKUP($A67,'[1]Scoreboard'!$B$2:$AH$21,29,FALSE)*0.00001</f>
        <v>3.0000000000000004E-05</v>
      </c>
      <c r="G67" s="6">
        <f t="shared" si="11"/>
        <v>25.16183</v>
      </c>
      <c r="H67" s="6">
        <f t="shared" si="12"/>
        <v>18</v>
      </c>
    </row>
    <row r="68" spans="1:8" ht="12.75" hidden="1">
      <c r="A68" s="3" t="str">
        <f t="shared" si="10"/>
        <v>Roger Chapman</v>
      </c>
      <c r="B68" s="6">
        <f>VLOOKUP($A68,'[1]Scoreboard'!$B$2:$AH$21,4,FALSE)</f>
        <v>31</v>
      </c>
      <c r="C68" s="6">
        <f>VLOOKUP($A68,'[1]Scoreboard'!$B$2:$AH$21,26,FALSE)*0.01</f>
        <v>0.11</v>
      </c>
      <c r="D68" s="6">
        <f>VLOOKUP($A68,'[1]Scoreboard'!$B$2:$AH$21,27,FALSE)*0.001</f>
        <v>0.007</v>
      </c>
      <c r="E68" s="6">
        <f>VLOOKUP($A68,'[1]Scoreboard'!$B$2:$AH$21,28,FALSE)*0.0001</f>
        <v>0.00030000000000000003</v>
      </c>
      <c r="F68" s="6">
        <f>VLOOKUP($A68,'[1]Scoreboard'!$B$2:$AH$21,29,FALSE)*0.00001</f>
        <v>2E-05</v>
      </c>
      <c r="G68" s="6">
        <f t="shared" si="11"/>
        <v>31.11732</v>
      </c>
      <c r="H68" s="6">
        <f t="shared" si="12"/>
        <v>11</v>
      </c>
    </row>
    <row r="69" spans="1:8" ht="12.75" hidden="1">
      <c r="A69" s="3" t="str">
        <f t="shared" si="10"/>
        <v>Scott Saurin</v>
      </c>
      <c r="B69" s="6">
        <f>VLOOKUP($A69,'[1]Scoreboard'!$B$2:$AH$21,4,FALSE)</f>
        <v>27</v>
      </c>
      <c r="C69" s="6">
        <f>VLOOKUP($A69,'[1]Scoreboard'!$B$2:$AH$21,26,FALSE)*0.01</f>
        <v>0.14</v>
      </c>
      <c r="D69" s="6">
        <f>VLOOKUP($A69,'[1]Scoreboard'!$B$2:$AH$21,27,FALSE)*0.001</f>
        <v>0.008</v>
      </c>
      <c r="E69" s="6">
        <f>VLOOKUP($A69,'[1]Scoreboard'!$B$2:$AH$21,28,FALSE)*0.0001</f>
        <v>0.00030000000000000003</v>
      </c>
      <c r="F69" s="6">
        <f>VLOOKUP($A69,'[1]Scoreboard'!$B$2:$AH$21,29,FALSE)*0.00001</f>
        <v>0</v>
      </c>
      <c r="G69" s="6">
        <f t="shared" si="11"/>
        <v>27.1483</v>
      </c>
      <c r="H69" s="6">
        <f t="shared" si="12"/>
        <v>17</v>
      </c>
    </row>
    <row r="70" spans="1:8" ht="12.75" hidden="1">
      <c r="A70" s="3" t="str">
        <f t="shared" si="10"/>
        <v>James Webb</v>
      </c>
      <c r="B70" s="6">
        <f>VLOOKUP($A70,'[1]Scoreboard'!$B$2:$AH$21,4,FALSE)</f>
        <v>33</v>
      </c>
      <c r="C70" s="6">
        <f>VLOOKUP($A70,'[1]Scoreboard'!$B$2:$AH$21,26,FALSE)*0.01</f>
        <v>0.18</v>
      </c>
      <c r="D70" s="6">
        <f>VLOOKUP($A70,'[1]Scoreboard'!$B$2:$AH$21,27,FALSE)*0.001</f>
        <v>0.011</v>
      </c>
      <c r="E70" s="6">
        <f>VLOOKUP($A70,'[1]Scoreboard'!$B$2:$AH$21,28,FALSE)*0.0001</f>
        <v>0.00030000000000000003</v>
      </c>
      <c r="F70" s="6">
        <f>VLOOKUP($A70,'[1]Scoreboard'!$B$2:$AH$21,29,FALSE)*0.00001</f>
        <v>2E-05</v>
      </c>
      <c r="G70" s="6">
        <f t="shared" si="11"/>
        <v>33.191320000000005</v>
      </c>
      <c r="H70" s="6">
        <f t="shared" si="12"/>
        <v>6</v>
      </c>
    </row>
    <row r="71" spans="1:8" ht="12.75" hidden="1">
      <c r="A71" s="3" t="str">
        <f t="shared" si="10"/>
        <v>Adam Greening</v>
      </c>
      <c r="B71" s="6">
        <f>VLOOKUP($A71,'[1]Scoreboard'!$B$2:$AH$21,4,FALSE)</f>
        <v>28</v>
      </c>
      <c r="C71" s="6">
        <f>VLOOKUP($A71,'[1]Scoreboard'!$B$2:$AH$21,26,FALSE)*0.01</f>
        <v>0.13</v>
      </c>
      <c r="D71" s="6">
        <f>VLOOKUP($A71,'[1]Scoreboard'!$B$2:$AH$21,27,FALSE)*0.001</f>
        <v>0.009000000000000001</v>
      </c>
      <c r="E71" s="6">
        <f>VLOOKUP($A71,'[1]Scoreboard'!$B$2:$AH$21,28,FALSE)*0.0001</f>
        <v>0.0005</v>
      </c>
      <c r="F71" s="6">
        <f>VLOOKUP($A71,'[1]Scoreboard'!$B$2:$AH$21,29,FALSE)*0.00001</f>
        <v>1E-05</v>
      </c>
      <c r="G71" s="6">
        <f t="shared" si="11"/>
        <v>28.139509999999998</v>
      </c>
      <c r="H71" s="6">
        <f t="shared" si="12"/>
        <v>16</v>
      </c>
    </row>
    <row r="72" spans="1:8" ht="12.75" hidden="1">
      <c r="A72" s="3" t="str">
        <f t="shared" si="10"/>
        <v>Alex Davies</v>
      </c>
      <c r="B72" s="6">
        <f>VLOOKUP($A72,'[1]Scoreboard'!$B$2:$AH$21,4,FALSE)</f>
        <v>35</v>
      </c>
      <c r="C72" s="6">
        <f>VLOOKUP($A72,'[1]Scoreboard'!$B$2:$AH$21,26,FALSE)*0.01</f>
        <v>0.18</v>
      </c>
      <c r="D72" s="6">
        <f>VLOOKUP($A72,'[1]Scoreboard'!$B$2:$AH$21,27,FALSE)*0.001</f>
        <v>0.011</v>
      </c>
      <c r="E72" s="6">
        <f>VLOOKUP($A72,'[1]Scoreboard'!$B$2:$AH$21,28,FALSE)*0.0001</f>
        <v>0.0004</v>
      </c>
      <c r="F72" s="6">
        <f>VLOOKUP($A72,'[1]Scoreboard'!$B$2:$AH$21,29,FALSE)*0.00001</f>
        <v>3.0000000000000004E-05</v>
      </c>
      <c r="G72" s="6">
        <f t="shared" si="11"/>
        <v>35.191430000000004</v>
      </c>
      <c r="H72" s="6">
        <f t="shared" si="12"/>
        <v>4</v>
      </c>
    </row>
    <row r="73" spans="1:8" ht="12.75" hidden="1">
      <c r="A73" s="3" t="str">
        <f t="shared" si="10"/>
        <v>Giles Elliott</v>
      </c>
      <c r="B73" s="6">
        <f>VLOOKUP($A73,'[1]Scoreboard'!$B$2:$AH$21,4,FALSE)</f>
        <v>28</v>
      </c>
      <c r="C73" s="6">
        <f>VLOOKUP($A73,'[1]Scoreboard'!$B$2:$AH$21,26,FALSE)*0.01</f>
        <v>0.15</v>
      </c>
      <c r="D73" s="6">
        <f>VLOOKUP($A73,'[1]Scoreboard'!$B$2:$AH$21,27,FALSE)*0.001</f>
        <v>0.01</v>
      </c>
      <c r="E73" s="6">
        <f>VLOOKUP($A73,'[1]Scoreboard'!$B$2:$AH$21,28,FALSE)*0.0001</f>
        <v>0.0004</v>
      </c>
      <c r="F73" s="6">
        <f>VLOOKUP($A73,'[1]Scoreboard'!$B$2:$AH$21,29,FALSE)*0.00001</f>
        <v>2E-05</v>
      </c>
      <c r="G73" s="6">
        <f t="shared" si="11"/>
        <v>28.16042</v>
      </c>
      <c r="H73" s="6">
        <f t="shared" si="12"/>
        <v>15</v>
      </c>
    </row>
    <row r="74" spans="1:8" ht="12.75" hidden="1">
      <c r="A74" s="3" t="str">
        <f t="shared" si="10"/>
        <v>Basil Davies</v>
      </c>
      <c r="B74" s="6">
        <f>VLOOKUP($A74,'[1]Scoreboard'!$B$2:$AH$21,4,FALSE)</f>
        <v>35</v>
      </c>
      <c r="C74" s="6">
        <f>VLOOKUP($A74,'[1]Scoreboard'!$B$2:$AH$21,26,FALSE)*0.01</f>
        <v>0.2</v>
      </c>
      <c r="D74" s="6">
        <f>VLOOKUP($A74,'[1]Scoreboard'!$B$2:$AH$21,27,FALSE)*0.001</f>
        <v>0.015</v>
      </c>
      <c r="E74" s="6">
        <f>VLOOKUP($A74,'[1]Scoreboard'!$B$2:$AH$21,28,FALSE)*0.0001</f>
        <v>0.0008</v>
      </c>
      <c r="F74" s="6">
        <f>VLOOKUP($A74,'[1]Scoreboard'!$B$2:$AH$21,29,FALSE)*0.00001</f>
        <v>3.0000000000000004E-05</v>
      </c>
      <c r="G74" s="6">
        <f t="shared" si="11"/>
        <v>35.215830000000004</v>
      </c>
      <c r="H74" s="6">
        <f t="shared" si="12"/>
        <v>2</v>
      </c>
    </row>
    <row r="75" spans="1:8" ht="12.75" hidden="1">
      <c r="A75" s="3" t="str">
        <f t="shared" si="10"/>
        <v>Dave Chapman</v>
      </c>
      <c r="B75" s="6">
        <f>VLOOKUP($A75,'[1]Scoreboard'!$B$2:$AH$21,4,FALSE)</f>
        <v>35</v>
      </c>
      <c r="C75" s="6">
        <f>VLOOKUP($A75,'[1]Scoreboard'!$B$2:$AH$21,26,FALSE)*0.01</f>
        <v>0.18</v>
      </c>
      <c r="D75" s="6">
        <f>VLOOKUP($A75,'[1]Scoreboard'!$B$2:$AH$21,27,FALSE)*0.001</f>
        <v>0.012</v>
      </c>
      <c r="E75" s="6">
        <f>VLOOKUP($A75,'[1]Scoreboard'!$B$2:$AH$21,28,FALSE)*0.0001</f>
        <v>0.0004</v>
      </c>
      <c r="F75" s="6">
        <f>VLOOKUP($A75,'[1]Scoreboard'!$B$2:$AH$21,29,FALSE)*0.00001</f>
        <v>2E-05</v>
      </c>
      <c r="G75" s="6">
        <f t="shared" si="11"/>
        <v>35.19242</v>
      </c>
      <c r="H75" s="6">
        <f t="shared" si="12"/>
        <v>3</v>
      </c>
    </row>
    <row r="76" spans="1:8" ht="12.75" hidden="1">
      <c r="A76" s="3" t="str">
        <f t="shared" si="10"/>
        <v>Ali Barnett</v>
      </c>
      <c r="B76" s="6">
        <f>VLOOKUP($A76,'[1]Scoreboard'!$B$2:$AH$21,4,FALSE)</f>
        <v>24</v>
      </c>
      <c r="C76" s="6">
        <f>VLOOKUP($A76,'[1]Scoreboard'!$B$2:$AH$21,26,FALSE)*0.01</f>
        <v>0.12</v>
      </c>
      <c r="D76" s="6">
        <f>VLOOKUP($A76,'[1]Scoreboard'!$B$2:$AH$21,27,FALSE)*0.001</f>
        <v>0.009000000000000001</v>
      </c>
      <c r="E76" s="6">
        <f>VLOOKUP($A76,'[1]Scoreboard'!$B$2:$AH$21,28,FALSE)*0.0001</f>
        <v>0.0004</v>
      </c>
      <c r="F76" s="6">
        <f>VLOOKUP($A76,'[1]Scoreboard'!$B$2:$AH$21,29,FALSE)*0.00001</f>
        <v>0</v>
      </c>
      <c r="G76" s="6">
        <f t="shared" si="11"/>
        <v>24.1294</v>
      </c>
      <c r="H76" s="6">
        <f t="shared" si="12"/>
        <v>19</v>
      </c>
    </row>
    <row r="77" spans="1:8" ht="12.75" hidden="1">
      <c r="A77" s="3" t="str">
        <f t="shared" si="10"/>
        <v>Adam Smith</v>
      </c>
      <c r="B77" s="6">
        <f>VLOOKUP($A77,'[1]Scoreboard'!$B$2:$AH$21,4,FALSE)</f>
        <v>30</v>
      </c>
      <c r="C77" s="6">
        <f>VLOOKUP($A77,'[1]Scoreboard'!$B$2:$AH$21,26,FALSE)*0.01</f>
        <v>0.17</v>
      </c>
      <c r="D77" s="6">
        <f>VLOOKUP($A77,'[1]Scoreboard'!$B$2:$AH$21,27,FALSE)*0.001</f>
        <v>0.009000000000000001</v>
      </c>
      <c r="E77" s="6">
        <f>VLOOKUP($A77,'[1]Scoreboard'!$B$2:$AH$21,28,FALSE)*0.0001</f>
        <v>0.0006000000000000001</v>
      </c>
      <c r="F77" s="6">
        <f>VLOOKUP($A77,'[1]Scoreboard'!$B$2:$AH$21,29,FALSE)*0.00001</f>
        <v>3.0000000000000004E-05</v>
      </c>
      <c r="G77" s="6">
        <f t="shared" si="11"/>
        <v>30.17963</v>
      </c>
      <c r="H77" s="6">
        <f t="shared" si="12"/>
        <v>13</v>
      </c>
    </row>
    <row r="78" spans="1:8" ht="12.75" hidden="1">
      <c r="A78" s="3" t="str">
        <f t="shared" si="10"/>
        <v>Luke Gallagher</v>
      </c>
      <c r="B78" s="6">
        <f>VLOOKUP($A78,'[1]Scoreboard'!$B$2:$AH$21,4,FALSE)</f>
        <v>31</v>
      </c>
      <c r="C78" s="6">
        <f>VLOOKUP($A78,'[1]Scoreboard'!$B$2:$AH$21,26,FALSE)*0.01</f>
        <v>0.17</v>
      </c>
      <c r="D78" s="6">
        <f>VLOOKUP($A78,'[1]Scoreboard'!$B$2:$AH$21,27,FALSE)*0.001</f>
        <v>0.013000000000000001</v>
      </c>
      <c r="E78" s="6">
        <f>VLOOKUP($A78,'[1]Scoreboard'!$B$2:$AH$21,28,FALSE)*0.0001</f>
        <v>0.0004</v>
      </c>
      <c r="F78" s="6">
        <f>VLOOKUP($A78,'[1]Scoreboard'!$B$2:$AH$21,29,FALSE)*0.00001</f>
        <v>2E-05</v>
      </c>
      <c r="G78" s="6">
        <f t="shared" si="11"/>
        <v>31.18342</v>
      </c>
      <c r="H78" s="6">
        <f t="shared" si="12"/>
        <v>9</v>
      </c>
    </row>
    <row r="79" spans="1:8" ht="12.75" hidden="1">
      <c r="A79" s="3" t="str">
        <f t="shared" si="10"/>
        <v>Moray Fleming</v>
      </c>
      <c r="B79" s="6">
        <f>VLOOKUP($A79,'[1]Scoreboard'!$B$2:$AH$21,4,FALSE)</f>
        <v>31</v>
      </c>
      <c r="C79" s="6">
        <f>VLOOKUP($A79,'[1]Scoreboard'!$B$2:$AH$21,26,FALSE)*0.01</f>
        <v>0.15</v>
      </c>
      <c r="D79" s="6">
        <f>VLOOKUP($A79,'[1]Scoreboard'!$B$2:$AH$21,27,FALSE)*0.001</f>
        <v>0.01</v>
      </c>
      <c r="E79" s="6">
        <f>VLOOKUP($A79,'[1]Scoreboard'!$B$2:$AH$21,28,FALSE)*0.0001</f>
        <v>0.0004</v>
      </c>
      <c r="F79" s="6">
        <f>VLOOKUP($A79,'[1]Scoreboard'!$B$2:$AH$21,29,FALSE)*0.00001</f>
        <v>1E-05</v>
      </c>
      <c r="G79" s="6">
        <f t="shared" si="11"/>
        <v>31.16041</v>
      </c>
      <c r="H79" s="6">
        <f t="shared" si="12"/>
        <v>10</v>
      </c>
    </row>
    <row r="80" spans="1:8" ht="12.75" hidden="1">
      <c r="A80" s="3" t="str">
        <f t="shared" si="10"/>
        <v>Tony Williams</v>
      </c>
      <c r="B80" s="6">
        <f>VLOOKUP($A80,'[1]Scoreboard'!$B$2:$AH$21,4,FALSE)</f>
        <v>30</v>
      </c>
      <c r="C80" s="6">
        <f>VLOOKUP($A80,'[1]Scoreboard'!$B$2:$AH$21,26,FALSE)*0.01</f>
        <v>0.15</v>
      </c>
      <c r="D80" s="6">
        <f>VLOOKUP($A80,'[1]Scoreboard'!$B$2:$AH$21,27,FALSE)*0.001</f>
        <v>0.01</v>
      </c>
      <c r="E80" s="6">
        <f>VLOOKUP($A80,'[1]Scoreboard'!$B$2:$AH$21,28,FALSE)*0.0001</f>
        <v>0.0005</v>
      </c>
      <c r="F80" s="6">
        <f>VLOOKUP($A80,'[1]Scoreboard'!$B$2:$AH$21,29,FALSE)*0.00001</f>
        <v>0</v>
      </c>
      <c r="G80" s="6">
        <f t="shared" si="11"/>
        <v>30.1605</v>
      </c>
      <c r="H80" s="6">
        <f t="shared" si="12"/>
        <v>14</v>
      </c>
    </row>
    <row r="81" ht="12.75" hidden="1"/>
    <row r="82" spans="2:8" ht="12.75" hidden="1">
      <c r="B82" s="6" t="s">
        <v>132</v>
      </c>
      <c r="C82" s="6" t="s">
        <v>133</v>
      </c>
      <c r="D82" s="6" t="s">
        <v>134</v>
      </c>
      <c r="E82" s="6" t="s">
        <v>135</v>
      </c>
      <c r="F82" s="6" t="s">
        <v>136</v>
      </c>
      <c r="G82" s="6" t="s">
        <v>137</v>
      </c>
      <c r="H82" s="6" t="s">
        <v>138</v>
      </c>
    </row>
    <row r="83" spans="1:8" ht="12.75" hidden="1">
      <c r="A83" s="3" t="str">
        <f>A61</f>
        <v>Adam Douglas</v>
      </c>
      <c r="B83" s="6">
        <f>VLOOKUP($A83,'[1]Scoreboard'!$B$2:$AH$21,5,FALSE)</f>
        <v>27</v>
      </c>
      <c r="C83" s="6">
        <f>VLOOKUP($A83,'[1]Scoreboard'!$B$2:$AH$21,30,FALSE)*0.01</f>
        <v>0.14</v>
      </c>
      <c r="D83" s="6">
        <f>VLOOKUP($A83,'[1]Scoreboard'!$B$2:$AH$21,31,FALSE)*0.001</f>
        <v>0.011</v>
      </c>
      <c r="E83" s="6">
        <f>VLOOKUP($A83,'[1]Scoreboard'!$B$2:$AH$21,32,FALSE)*0.0001</f>
        <v>0.0005</v>
      </c>
      <c r="F83" s="6">
        <f>VLOOKUP($A83,'[1]Scoreboard'!$B$2:$AH$21,33,FALSE)*0.00001</f>
        <v>1E-05</v>
      </c>
      <c r="G83" s="6">
        <f>SUM(B83:F83)</f>
        <v>27.15151</v>
      </c>
      <c r="H83" s="6">
        <f>RANK(G83,G$83:G$102)</f>
        <v>8</v>
      </c>
    </row>
    <row r="84" spans="1:8" ht="12.75" hidden="1">
      <c r="A84" s="3" t="str">
        <f aca="true" t="shared" si="13" ref="A84:A102">A62</f>
        <v>Marc Talbot</v>
      </c>
      <c r="B84" s="6">
        <f>VLOOKUP($A84,'[1]Scoreboard'!$B$2:$AH$21,5,FALSE)</f>
        <v>17</v>
      </c>
      <c r="C84" s="6">
        <f>VLOOKUP($A84,'[1]Scoreboard'!$B$2:$AH$21,30,FALSE)*0.01</f>
        <v>0.07</v>
      </c>
      <c r="D84" s="6">
        <f>VLOOKUP($A84,'[1]Scoreboard'!$B$2:$AH$21,31,FALSE)*0.001</f>
        <v>0.003</v>
      </c>
      <c r="E84" s="6">
        <f>VLOOKUP($A84,'[1]Scoreboard'!$B$2:$AH$21,32,FALSE)*0.0001</f>
        <v>0</v>
      </c>
      <c r="F84" s="6">
        <f>VLOOKUP($A84,'[1]Scoreboard'!$B$2:$AH$21,33,FALSE)*0.00001</f>
        <v>0</v>
      </c>
      <c r="G84" s="6">
        <f aca="true" t="shared" si="14" ref="G84:G102">SUM(B84:F84)</f>
        <v>17.073</v>
      </c>
      <c r="H84" s="6">
        <f aca="true" t="shared" si="15" ref="H84:H101">RANK(G84,G$83:G$102)</f>
        <v>20</v>
      </c>
    </row>
    <row r="85" spans="1:8" ht="12.75" hidden="1">
      <c r="A85" s="3" t="str">
        <f t="shared" si="13"/>
        <v>Tony Chapman</v>
      </c>
      <c r="B85" s="6">
        <f>VLOOKUP($A85,'[1]Scoreboard'!$B$2:$AH$21,5,FALSE)</f>
        <v>23</v>
      </c>
      <c r="C85" s="6">
        <f>VLOOKUP($A85,'[1]Scoreboard'!$B$2:$AH$21,30,FALSE)*0.01</f>
        <v>0.16</v>
      </c>
      <c r="D85" s="6">
        <f>VLOOKUP($A85,'[1]Scoreboard'!$B$2:$AH$21,31,FALSE)*0.001</f>
        <v>0.009000000000000001</v>
      </c>
      <c r="E85" s="6">
        <f>VLOOKUP($A85,'[1]Scoreboard'!$B$2:$AH$21,32,FALSE)*0.0001</f>
        <v>0.0005</v>
      </c>
      <c r="F85" s="6">
        <f>VLOOKUP($A85,'[1]Scoreboard'!$B$2:$AH$21,33,FALSE)*0.00001</f>
        <v>2E-05</v>
      </c>
      <c r="G85" s="6">
        <f t="shared" si="14"/>
        <v>23.16952</v>
      </c>
      <c r="H85" s="6">
        <f t="shared" si="15"/>
        <v>16</v>
      </c>
    </row>
    <row r="86" spans="1:8" ht="12.75" hidden="1">
      <c r="A86" s="3" t="str">
        <f t="shared" si="13"/>
        <v>Daniel Nash</v>
      </c>
      <c r="B86" s="6">
        <f>VLOOKUP($A86,'[1]Scoreboard'!$B$2:$AH$21,5,FALSE)</f>
        <v>31</v>
      </c>
      <c r="C86" s="6">
        <f>VLOOKUP($A86,'[1]Scoreboard'!$B$2:$AH$21,30,FALSE)*0.01</f>
        <v>0.2</v>
      </c>
      <c r="D86" s="6">
        <f>VLOOKUP($A86,'[1]Scoreboard'!$B$2:$AH$21,31,FALSE)*0.001</f>
        <v>0.014</v>
      </c>
      <c r="E86" s="6">
        <f>VLOOKUP($A86,'[1]Scoreboard'!$B$2:$AH$21,32,FALSE)*0.0001</f>
        <v>0.0007</v>
      </c>
      <c r="F86" s="6">
        <f>VLOOKUP($A86,'[1]Scoreboard'!$B$2:$AH$21,33,FALSE)*0.00001</f>
        <v>1E-05</v>
      </c>
      <c r="G86" s="6">
        <f t="shared" si="14"/>
        <v>31.214709999999997</v>
      </c>
      <c r="H86" s="6">
        <f t="shared" si="15"/>
        <v>4</v>
      </c>
    </row>
    <row r="87" spans="1:8" ht="12.75" hidden="1">
      <c r="A87" s="3" t="str">
        <f t="shared" si="13"/>
        <v>James Douglas</v>
      </c>
      <c r="B87" s="6">
        <f>VLOOKUP($A87,'[1]Scoreboard'!$B$2:$AH$21,5,FALSE)</f>
        <v>24</v>
      </c>
      <c r="C87" s="6">
        <f>VLOOKUP($A87,'[1]Scoreboard'!$B$2:$AH$21,30,FALSE)*0.01</f>
        <v>0.09</v>
      </c>
      <c r="D87" s="6">
        <f>VLOOKUP($A87,'[1]Scoreboard'!$B$2:$AH$21,31,FALSE)*0.001</f>
        <v>0.006</v>
      </c>
      <c r="E87" s="6">
        <f>VLOOKUP($A87,'[1]Scoreboard'!$B$2:$AH$21,32,FALSE)*0.0001</f>
        <v>0.0004</v>
      </c>
      <c r="F87" s="6">
        <f>VLOOKUP($A87,'[1]Scoreboard'!$B$2:$AH$21,33,FALSE)*0.00001</f>
        <v>0</v>
      </c>
      <c r="G87" s="6">
        <f t="shared" si="14"/>
        <v>24.0964</v>
      </c>
      <c r="H87" s="6">
        <f t="shared" si="15"/>
        <v>15</v>
      </c>
    </row>
    <row r="88" spans="1:8" ht="12.75" hidden="1">
      <c r="A88" s="3" t="str">
        <f t="shared" si="13"/>
        <v>James Spackman</v>
      </c>
      <c r="B88" s="6">
        <f>VLOOKUP($A88,'[1]Scoreboard'!$B$2:$AH$21,5,FALSE)</f>
        <v>32</v>
      </c>
      <c r="C88" s="6">
        <f>VLOOKUP($A88,'[1]Scoreboard'!$B$2:$AH$21,30,FALSE)*0.01</f>
        <v>0.19</v>
      </c>
      <c r="D88" s="6">
        <f>VLOOKUP($A88,'[1]Scoreboard'!$B$2:$AH$21,31,FALSE)*0.001</f>
        <v>0.013000000000000001</v>
      </c>
      <c r="E88" s="6">
        <f>VLOOKUP($A88,'[1]Scoreboard'!$B$2:$AH$21,32,FALSE)*0.0001</f>
        <v>0.0006000000000000001</v>
      </c>
      <c r="F88" s="6">
        <f>VLOOKUP($A88,'[1]Scoreboard'!$B$2:$AH$21,33,FALSE)*0.00001</f>
        <v>1E-05</v>
      </c>
      <c r="G88" s="6">
        <f t="shared" si="14"/>
        <v>32.20361</v>
      </c>
      <c r="H88" s="6">
        <f t="shared" si="15"/>
        <v>3</v>
      </c>
    </row>
    <row r="89" spans="1:8" ht="12.75" hidden="1">
      <c r="A89" s="3" t="str">
        <f t="shared" si="13"/>
        <v>Marcus Street</v>
      </c>
      <c r="B89" s="6">
        <f>VLOOKUP($A89,'[1]Scoreboard'!$B$2:$AH$21,5,FALSE)</f>
        <v>26</v>
      </c>
      <c r="C89" s="6">
        <f>VLOOKUP($A89,'[1]Scoreboard'!$B$2:$AH$21,30,FALSE)*0.01</f>
        <v>0.13</v>
      </c>
      <c r="D89" s="6">
        <f>VLOOKUP($A89,'[1]Scoreboard'!$B$2:$AH$21,31,FALSE)*0.001</f>
        <v>0.008</v>
      </c>
      <c r="E89" s="6">
        <f>VLOOKUP($A89,'[1]Scoreboard'!$B$2:$AH$21,32,FALSE)*0.0001</f>
        <v>0.00030000000000000003</v>
      </c>
      <c r="F89" s="6">
        <f>VLOOKUP($A89,'[1]Scoreboard'!$B$2:$AH$21,33,FALSE)*0.00001</f>
        <v>2E-05</v>
      </c>
      <c r="G89" s="6">
        <f t="shared" si="14"/>
        <v>26.138319999999997</v>
      </c>
      <c r="H89" s="6">
        <f t="shared" si="15"/>
        <v>10</v>
      </c>
    </row>
    <row r="90" spans="1:8" ht="12.75" hidden="1">
      <c r="A90" s="3" t="str">
        <f t="shared" si="13"/>
        <v>Roger Chapman</v>
      </c>
      <c r="B90" s="6">
        <f>VLOOKUP($A90,'[1]Scoreboard'!$B$2:$AH$21,5,FALSE)</f>
        <v>25</v>
      </c>
      <c r="C90" s="6">
        <f>VLOOKUP($A90,'[1]Scoreboard'!$B$2:$AH$21,30,FALSE)*0.01</f>
        <v>0.14</v>
      </c>
      <c r="D90" s="6">
        <f>VLOOKUP($A90,'[1]Scoreboard'!$B$2:$AH$21,31,FALSE)*0.001</f>
        <v>0.009000000000000001</v>
      </c>
      <c r="E90" s="6">
        <f>VLOOKUP($A90,'[1]Scoreboard'!$B$2:$AH$21,32,FALSE)*0.0001</f>
        <v>0.0006000000000000001</v>
      </c>
      <c r="F90" s="6">
        <f>VLOOKUP($A90,'[1]Scoreboard'!$B$2:$AH$21,33,FALSE)*0.00001</f>
        <v>3.0000000000000004E-05</v>
      </c>
      <c r="G90" s="6">
        <f t="shared" si="14"/>
        <v>25.14963</v>
      </c>
      <c r="H90" s="6">
        <f t="shared" si="15"/>
        <v>12</v>
      </c>
    </row>
    <row r="91" spans="1:8" ht="12.75" hidden="1">
      <c r="A91" s="3" t="str">
        <f t="shared" si="13"/>
        <v>Scott Saurin</v>
      </c>
      <c r="B91" s="6">
        <f>VLOOKUP($A91,'[1]Scoreboard'!$B$2:$AH$21,5,FALSE)</f>
        <v>27</v>
      </c>
      <c r="C91" s="6">
        <f>VLOOKUP($A91,'[1]Scoreboard'!$B$2:$AH$21,30,FALSE)*0.01</f>
        <v>0.15</v>
      </c>
      <c r="D91" s="6">
        <f>VLOOKUP($A91,'[1]Scoreboard'!$B$2:$AH$21,31,FALSE)*0.001</f>
        <v>0.009000000000000001</v>
      </c>
      <c r="E91" s="6">
        <f>VLOOKUP($A91,'[1]Scoreboard'!$B$2:$AH$21,32,FALSE)*0.0001</f>
        <v>0.00030000000000000003</v>
      </c>
      <c r="F91" s="6">
        <f>VLOOKUP($A91,'[1]Scoreboard'!$B$2:$AH$21,33,FALSE)*0.00001</f>
        <v>0</v>
      </c>
      <c r="G91" s="6">
        <f t="shared" si="14"/>
        <v>27.159299999999998</v>
      </c>
      <c r="H91" s="6">
        <f t="shared" si="15"/>
        <v>7</v>
      </c>
    </row>
    <row r="92" spans="1:8" ht="12.75" hidden="1">
      <c r="A92" s="3" t="str">
        <f t="shared" si="13"/>
        <v>James Webb</v>
      </c>
      <c r="B92" s="6">
        <f>VLOOKUP($A92,'[1]Scoreboard'!$B$2:$AH$21,5,FALSE)</f>
        <v>29</v>
      </c>
      <c r="C92" s="6">
        <f>VLOOKUP($A92,'[1]Scoreboard'!$B$2:$AH$21,30,FALSE)*0.01</f>
        <v>0.12</v>
      </c>
      <c r="D92" s="6">
        <f>VLOOKUP($A92,'[1]Scoreboard'!$B$2:$AH$21,31,FALSE)*0.001</f>
        <v>0.009000000000000001</v>
      </c>
      <c r="E92" s="6">
        <f>VLOOKUP($A92,'[1]Scoreboard'!$B$2:$AH$21,32,FALSE)*0.0001</f>
        <v>0.0005</v>
      </c>
      <c r="F92" s="6">
        <f>VLOOKUP($A92,'[1]Scoreboard'!$B$2:$AH$21,33,FALSE)*0.00001</f>
        <v>2E-05</v>
      </c>
      <c r="G92" s="6">
        <f t="shared" si="14"/>
        <v>29.12952</v>
      </c>
      <c r="H92" s="6">
        <f t="shared" si="15"/>
        <v>6</v>
      </c>
    </row>
    <row r="93" spans="1:8" ht="12.75" hidden="1">
      <c r="A93" s="3" t="str">
        <f t="shared" si="13"/>
        <v>Adam Greening</v>
      </c>
      <c r="B93" s="6">
        <f>VLOOKUP($A93,'[1]Scoreboard'!$B$2:$AH$21,5,FALSE)</f>
        <v>22</v>
      </c>
      <c r="C93" s="6">
        <f>VLOOKUP($A93,'[1]Scoreboard'!$B$2:$AH$21,30,FALSE)*0.01</f>
        <v>0.13</v>
      </c>
      <c r="D93" s="6">
        <f>VLOOKUP($A93,'[1]Scoreboard'!$B$2:$AH$21,31,FALSE)*0.001</f>
        <v>0.007</v>
      </c>
      <c r="E93" s="6">
        <f>VLOOKUP($A93,'[1]Scoreboard'!$B$2:$AH$21,32,FALSE)*0.0001</f>
        <v>0.0002</v>
      </c>
      <c r="F93" s="6">
        <f>VLOOKUP($A93,'[1]Scoreboard'!$B$2:$AH$21,33,FALSE)*0.00001</f>
        <v>2E-05</v>
      </c>
      <c r="G93" s="6">
        <f t="shared" si="14"/>
        <v>22.13722</v>
      </c>
      <c r="H93" s="6">
        <f t="shared" si="15"/>
        <v>17</v>
      </c>
    </row>
    <row r="94" spans="1:8" ht="12.75" hidden="1">
      <c r="A94" s="3" t="str">
        <f t="shared" si="13"/>
        <v>Alex Davies</v>
      </c>
      <c r="B94" s="6">
        <f>VLOOKUP($A94,'[1]Scoreboard'!$B$2:$AH$21,5,FALSE)</f>
        <v>37</v>
      </c>
      <c r="C94" s="6">
        <f>VLOOKUP($A94,'[1]Scoreboard'!$B$2:$AH$21,30,FALSE)*0.01</f>
        <v>0.18</v>
      </c>
      <c r="D94" s="6">
        <f>VLOOKUP($A94,'[1]Scoreboard'!$B$2:$AH$21,31,FALSE)*0.001</f>
        <v>0.013000000000000001</v>
      </c>
      <c r="E94" s="6">
        <f>VLOOKUP($A94,'[1]Scoreboard'!$B$2:$AH$21,32,FALSE)*0.0001</f>
        <v>0.0006000000000000001</v>
      </c>
      <c r="F94" s="6">
        <f>VLOOKUP($A94,'[1]Scoreboard'!$B$2:$AH$21,33,FALSE)*0.00001</f>
        <v>2E-05</v>
      </c>
      <c r="G94" s="6">
        <f t="shared" si="14"/>
        <v>37.193619999999996</v>
      </c>
      <c r="H94" s="6">
        <f t="shared" si="15"/>
        <v>1</v>
      </c>
    </row>
    <row r="95" spans="1:8" ht="12.75" hidden="1">
      <c r="A95" s="3" t="str">
        <f t="shared" si="13"/>
        <v>Giles Elliott</v>
      </c>
      <c r="B95" s="6">
        <f>VLOOKUP($A95,'[1]Scoreboard'!$B$2:$AH$21,5,FALSE)</f>
        <v>19</v>
      </c>
      <c r="C95" s="6">
        <f>VLOOKUP($A95,'[1]Scoreboard'!$B$2:$AH$21,30,FALSE)*0.01</f>
        <v>0.04</v>
      </c>
      <c r="D95" s="6">
        <f>VLOOKUP($A95,'[1]Scoreboard'!$B$2:$AH$21,31,FALSE)*0.001</f>
        <v>0.004</v>
      </c>
      <c r="E95" s="6">
        <f>VLOOKUP($A95,'[1]Scoreboard'!$B$2:$AH$21,32,FALSE)*0.0001</f>
        <v>0.00030000000000000003</v>
      </c>
      <c r="F95" s="6">
        <f>VLOOKUP($A95,'[1]Scoreboard'!$B$2:$AH$21,33,FALSE)*0.00001</f>
        <v>1E-05</v>
      </c>
      <c r="G95" s="6">
        <f t="shared" si="14"/>
        <v>19.04431</v>
      </c>
      <c r="H95" s="6">
        <f t="shared" si="15"/>
        <v>18</v>
      </c>
    </row>
    <row r="96" spans="1:8" ht="12.75" hidden="1">
      <c r="A96" s="3" t="str">
        <f t="shared" si="13"/>
        <v>Basil Davies</v>
      </c>
      <c r="B96" s="6">
        <f>VLOOKUP($A96,'[1]Scoreboard'!$B$2:$AH$21,5,FALSE)</f>
        <v>25</v>
      </c>
      <c r="C96" s="6">
        <f>VLOOKUP($A96,'[1]Scoreboard'!$B$2:$AH$21,30,FALSE)*0.01</f>
        <v>0.13</v>
      </c>
      <c r="D96" s="6">
        <f>VLOOKUP($A96,'[1]Scoreboard'!$B$2:$AH$21,31,FALSE)*0.001</f>
        <v>0.007</v>
      </c>
      <c r="E96" s="6">
        <f>VLOOKUP($A96,'[1]Scoreboard'!$B$2:$AH$21,32,FALSE)*0.0001</f>
        <v>0.0004</v>
      </c>
      <c r="F96" s="6">
        <f>VLOOKUP($A96,'[1]Scoreboard'!$B$2:$AH$21,33,FALSE)*0.00001</f>
        <v>0</v>
      </c>
      <c r="G96" s="6">
        <f t="shared" si="14"/>
        <v>25.1374</v>
      </c>
      <c r="H96" s="6">
        <f t="shared" si="15"/>
        <v>13</v>
      </c>
    </row>
    <row r="97" spans="1:8" ht="12.75" hidden="1">
      <c r="A97" s="3" t="str">
        <f t="shared" si="13"/>
        <v>Dave Chapman</v>
      </c>
      <c r="B97" s="6">
        <f>VLOOKUP($A97,'[1]Scoreboard'!$B$2:$AH$21,5,FALSE)</f>
        <v>24</v>
      </c>
      <c r="C97" s="6">
        <f>VLOOKUP($A97,'[1]Scoreboard'!$B$2:$AH$21,30,FALSE)*0.01</f>
        <v>0.13</v>
      </c>
      <c r="D97" s="6">
        <f>VLOOKUP($A97,'[1]Scoreboard'!$B$2:$AH$21,31,FALSE)*0.001</f>
        <v>0.009000000000000001</v>
      </c>
      <c r="E97" s="6">
        <f>VLOOKUP($A97,'[1]Scoreboard'!$B$2:$AH$21,32,FALSE)*0.0001</f>
        <v>0.0002</v>
      </c>
      <c r="F97" s="6">
        <f>VLOOKUP($A97,'[1]Scoreboard'!$B$2:$AH$21,33,FALSE)*0.00001</f>
        <v>1E-05</v>
      </c>
      <c r="G97" s="6">
        <f t="shared" si="14"/>
        <v>24.13921</v>
      </c>
      <c r="H97" s="6">
        <f t="shared" si="15"/>
        <v>14</v>
      </c>
    </row>
    <row r="98" spans="1:8" ht="12.75" hidden="1">
      <c r="A98" s="3" t="str">
        <f t="shared" si="13"/>
        <v>Ali Barnett</v>
      </c>
      <c r="B98" s="6">
        <f>VLOOKUP($A98,'[1]Scoreboard'!$B$2:$AH$21,5,FALSE)</f>
        <v>26</v>
      </c>
      <c r="C98" s="6">
        <f>VLOOKUP($A98,'[1]Scoreboard'!$B$2:$AH$21,30,FALSE)*0.01</f>
        <v>0.09</v>
      </c>
      <c r="D98" s="6">
        <f>VLOOKUP($A98,'[1]Scoreboard'!$B$2:$AH$21,31,FALSE)*0.001</f>
        <v>0.007</v>
      </c>
      <c r="E98" s="6">
        <f>VLOOKUP($A98,'[1]Scoreboard'!$B$2:$AH$21,32,FALSE)*0.0001</f>
        <v>0.0001</v>
      </c>
      <c r="F98" s="6">
        <f>VLOOKUP($A98,'[1]Scoreboard'!$B$2:$AH$21,33,FALSE)*0.00001</f>
        <v>0</v>
      </c>
      <c r="G98" s="6">
        <f t="shared" si="14"/>
        <v>26.0971</v>
      </c>
      <c r="H98" s="6">
        <f t="shared" si="15"/>
        <v>11</v>
      </c>
    </row>
    <row r="99" spans="1:8" ht="12.75" hidden="1">
      <c r="A99" s="3" t="str">
        <f t="shared" si="13"/>
        <v>Adam Smith</v>
      </c>
      <c r="B99" s="6">
        <f>VLOOKUP($A99,'[1]Scoreboard'!$B$2:$AH$21,5,FALSE)</f>
        <v>26</v>
      </c>
      <c r="C99" s="6">
        <f>VLOOKUP($A99,'[1]Scoreboard'!$B$2:$AH$21,30,FALSE)*0.01</f>
        <v>0.14</v>
      </c>
      <c r="D99" s="6">
        <f>VLOOKUP($A99,'[1]Scoreboard'!$B$2:$AH$21,31,FALSE)*0.001</f>
        <v>0.008</v>
      </c>
      <c r="E99" s="6">
        <f>VLOOKUP($A99,'[1]Scoreboard'!$B$2:$AH$21,32,FALSE)*0.0001</f>
        <v>0.0002</v>
      </c>
      <c r="F99" s="6">
        <f>VLOOKUP($A99,'[1]Scoreboard'!$B$2:$AH$21,33,FALSE)*0.00001</f>
        <v>2E-05</v>
      </c>
      <c r="G99" s="6">
        <f t="shared" si="14"/>
        <v>26.14822</v>
      </c>
      <c r="H99" s="6">
        <f t="shared" si="15"/>
        <v>9</v>
      </c>
    </row>
    <row r="100" spans="1:8" ht="12.75" hidden="1">
      <c r="A100" s="3" t="str">
        <f t="shared" si="13"/>
        <v>Luke Gallagher</v>
      </c>
      <c r="B100" s="6">
        <f>VLOOKUP($A100,'[1]Scoreboard'!$B$2:$AH$21,5,FALSE)</f>
        <v>18</v>
      </c>
      <c r="C100" s="6">
        <f>VLOOKUP($A100,'[1]Scoreboard'!$B$2:$AH$21,30,FALSE)*0.01</f>
        <v>0.09</v>
      </c>
      <c r="D100" s="6">
        <f>VLOOKUP($A100,'[1]Scoreboard'!$B$2:$AH$21,31,FALSE)*0.001</f>
        <v>0.008</v>
      </c>
      <c r="E100" s="6">
        <f>VLOOKUP($A100,'[1]Scoreboard'!$B$2:$AH$21,32,FALSE)*0.0001</f>
        <v>0.00030000000000000003</v>
      </c>
      <c r="F100" s="6">
        <f>VLOOKUP($A100,'[1]Scoreboard'!$B$2:$AH$21,33,FALSE)*0.00001</f>
        <v>2E-05</v>
      </c>
      <c r="G100" s="6">
        <f t="shared" si="14"/>
        <v>18.098319999999998</v>
      </c>
      <c r="H100" s="6">
        <f t="shared" si="15"/>
        <v>19</v>
      </c>
    </row>
    <row r="101" spans="1:8" ht="12.75" hidden="1">
      <c r="A101" s="3" t="str">
        <f t="shared" si="13"/>
        <v>Moray Fleming</v>
      </c>
      <c r="B101" s="6">
        <f>VLOOKUP($A101,'[1]Scoreboard'!$B$2:$AH$21,5,FALSE)</f>
        <v>30</v>
      </c>
      <c r="C101" s="6">
        <f>VLOOKUP($A101,'[1]Scoreboard'!$B$2:$AH$21,30,FALSE)*0.01</f>
        <v>0.12</v>
      </c>
      <c r="D101" s="6">
        <f>VLOOKUP($A101,'[1]Scoreboard'!$B$2:$AH$21,31,FALSE)*0.001</f>
        <v>0.008</v>
      </c>
      <c r="E101" s="6">
        <f>VLOOKUP($A101,'[1]Scoreboard'!$B$2:$AH$21,32,FALSE)*0.0001</f>
        <v>0.0001</v>
      </c>
      <c r="F101" s="6">
        <f>VLOOKUP($A101,'[1]Scoreboard'!$B$2:$AH$21,33,FALSE)*0.00001</f>
        <v>0</v>
      </c>
      <c r="G101" s="6">
        <f t="shared" si="14"/>
        <v>30.1281</v>
      </c>
      <c r="H101" s="6">
        <f t="shared" si="15"/>
        <v>5</v>
      </c>
    </row>
    <row r="102" spans="1:8" ht="12.75" hidden="1">
      <c r="A102" s="3" t="str">
        <f t="shared" si="13"/>
        <v>Tony Williams</v>
      </c>
      <c r="B102" s="6">
        <f>VLOOKUP($A102,'[1]Scoreboard'!$B$2:$AH$21,5,FALSE)</f>
        <v>33</v>
      </c>
      <c r="C102" s="6">
        <f>VLOOKUP($A102,'[1]Scoreboard'!$B$2:$AH$21,30,FALSE)*0.01</f>
        <v>0.17</v>
      </c>
      <c r="D102" s="6">
        <f>VLOOKUP($A102,'[1]Scoreboard'!$B$2:$AH$21,31,FALSE)*0.001</f>
        <v>0.012</v>
      </c>
      <c r="E102" s="6">
        <f>VLOOKUP($A102,'[1]Scoreboard'!$B$2:$AH$21,32,FALSE)*0.0001</f>
        <v>0.0005</v>
      </c>
      <c r="F102" s="6">
        <f>VLOOKUP($A102,'[1]Scoreboard'!$B$2:$AH$21,33,FALSE)*0.00001</f>
        <v>3.0000000000000004E-05</v>
      </c>
      <c r="G102" s="6">
        <f t="shared" si="14"/>
        <v>33.18253000000001</v>
      </c>
      <c r="H102" s="6">
        <f>RANK(G102,G$83:G$102)</f>
        <v>2</v>
      </c>
    </row>
  </sheetData>
  <sheetProtection/>
  <mergeCells count="1">
    <mergeCell ref="H2:I2"/>
  </mergeCells>
  <conditionalFormatting sqref="B3:B7 B9:B12">
    <cfRule type="expression" priority="1" dxfId="0" stopIfTrue="1">
      <formula>J3&gt;1</formula>
    </cfRule>
  </conditionalFormatting>
  <conditionalFormatting sqref="D3:D7">
    <cfRule type="expression" priority="3" dxfId="0" stopIfTrue="1">
      <formula>K3&gt;1</formula>
    </cfRule>
  </conditionalFormatting>
  <conditionalFormatting sqref="F3:F7">
    <cfRule type="expression" priority="4" dxfId="0" stopIfTrue="1">
      <formula>L3&gt;1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RPS Group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david.chapman</dc:creator>
  <cp:keywords/>
  <dc:description/>
  <cp:lastModifiedBy>DaveNat</cp:lastModifiedBy>
  <cp:lastPrinted>2011-03-22T15:46:32Z</cp:lastPrinted>
  <dcterms:created xsi:type="dcterms:W3CDTF">2010-01-14T12:10:45Z</dcterms:created>
  <dcterms:modified xsi:type="dcterms:W3CDTF">2012-04-28T18:05:21Z</dcterms:modified>
  <cp:category/>
  <cp:version/>
  <cp:contentType/>
  <cp:contentStatus/>
</cp:coreProperties>
</file>